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urtis.McMahan\Desktop\W U\W.U. 2016\Tools\"/>
    </mc:Choice>
  </mc:AlternateContent>
  <bookViews>
    <workbookView xWindow="0" yWindow="0" windowWidth="23040" windowHeight="9972"/>
  </bookViews>
  <sheets>
    <sheet name="Company METL" sheetId="2" r:id="rId1"/>
    <sheet name="METL Task #1" sheetId="5" r:id="rId2"/>
    <sheet name="METL Task #2" sheetId="6" r:id="rId3"/>
    <sheet name="METL Task #3" sheetId="7" r:id="rId4"/>
    <sheet name="METL Task #4" sheetId="8" r:id="rId5"/>
    <sheet name="METL Task #5" sheetId="9" r:id="rId6"/>
    <sheet name="Scratchpad" sheetId="10" r:id="rId7"/>
  </sheets>
  <definedNames>
    <definedName name="_xlnm.Print_Area" localSheetId="1">'METL Task #1'!$D$1:$N$62</definedName>
    <definedName name="_xlnm.Print_Area" localSheetId="2">'METL Task #2'!$D$1:$O$21</definedName>
    <definedName name="_xlnm.Print_Area" localSheetId="3">'METL Task #3'!$D$1:$N$24</definedName>
    <definedName name="_xlnm.Print_Area" localSheetId="4">'METL Task #4'!$D$1:$N$34</definedName>
    <definedName name="_xlnm.Print_Area" localSheetId="5">'METL Task #5'!$D$1:$N$36</definedName>
  </definedNames>
  <calcPr calcId="152511"/>
</workbook>
</file>

<file path=xl/calcChain.xml><?xml version="1.0" encoding="utf-8"?>
<calcChain xmlns="http://schemas.openxmlformats.org/spreadsheetml/2006/main">
  <c r="H8" i="10" l="1"/>
  <c r="C9" i="2" l="1"/>
  <c r="F114" i="9"/>
  <c r="O113" i="9"/>
  <c r="K113" i="9"/>
  <c r="J113" i="9"/>
  <c r="H113" i="9"/>
  <c r="O112" i="9"/>
  <c r="K112" i="9"/>
  <c r="J112" i="9"/>
  <c r="H112" i="9"/>
  <c r="O111" i="9"/>
  <c r="K111" i="9"/>
  <c r="J111" i="9"/>
  <c r="H111" i="9"/>
  <c r="O110" i="9"/>
  <c r="K110" i="9"/>
  <c r="J110" i="9"/>
  <c r="H110" i="9"/>
  <c r="O109" i="9"/>
  <c r="K109" i="9"/>
  <c r="J109" i="9"/>
  <c r="H109" i="9"/>
  <c r="O108" i="9"/>
  <c r="K108" i="9"/>
  <c r="J108" i="9"/>
  <c r="H108" i="9"/>
  <c r="O107" i="9"/>
  <c r="K107" i="9"/>
  <c r="J107" i="9"/>
  <c r="H107" i="9"/>
  <c r="O106" i="9"/>
  <c r="K106" i="9"/>
  <c r="J106" i="9"/>
  <c r="H106" i="9"/>
  <c r="O105" i="9"/>
  <c r="K105" i="9"/>
  <c r="J105" i="9"/>
  <c r="H105" i="9"/>
  <c r="O104" i="9"/>
  <c r="K104" i="9"/>
  <c r="M103" i="9" s="1"/>
  <c r="J104" i="9"/>
  <c r="H104" i="9"/>
  <c r="L103" i="9"/>
  <c r="J103" i="9"/>
  <c r="K103" i="9" s="1"/>
  <c r="H103" i="9"/>
  <c r="O102" i="9"/>
  <c r="K102" i="9"/>
  <c r="J102" i="9"/>
  <c r="H102" i="9"/>
  <c r="O101" i="9"/>
  <c r="K101" i="9"/>
  <c r="J101" i="9"/>
  <c r="H101" i="9"/>
  <c r="O100" i="9"/>
  <c r="K100" i="9"/>
  <c r="J100" i="9"/>
  <c r="H100" i="9"/>
  <c r="O99" i="9"/>
  <c r="K99" i="9"/>
  <c r="J99" i="9"/>
  <c r="H99" i="9"/>
  <c r="O98" i="9"/>
  <c r="K98" i="9"/>
  <c r="J98" i="9"/>
  <c r="H98" i="9"/>
  <c r="O97" i="9"/>
  <c r="K97" i="9"/>
  <c r="J97" i="9"/>
  <c r="H97" i="9"/>
  <c r="O96" i="9"/>
  <c r="K96" i="9"/>
  <c r="J96" i="9"/>
  <c r="H96" i="9"/>
  <c r="O95" i="9"/>
  <c r="K95" i="9"/>
  <c r="J95" i="9"/>
  <c r="H95" i="9"/>
  <c r="O94" i="9"/>
  <c r="K94" i="9"/>
  <c r="J94" i="9"/>
  <c r="H94" i="9"/>
  <c r="O93" i="9"/>
  <c r="K93" i="9"/>
  <c r="M92" i="9" s="1"/>
  <c r="J93" i="9"/>
  <c r="H93" i="9"/>
  <c r="L92" i="9"/>
  <c r="J92" i="9"/>
  <c r="K92" i="9" s="1"/>
  <c r="H92" i="9"/>
  <c r="O91" i="9"/>
  <c r="K91" i="9"/>
  <c r="J91" i="9"/>
  <c r="H91" i="9"/>
  <c r="O90" i="9"/>
  <c r="K90" i="9"/>
  <c r="J90" i="9"/>
  <c r="H90" i="9"/>
  <c r="O89" i="9"/>
  <c r="K89" i="9"/>
  <c r="J89" i="9"/>
  <c r="H89" i="9"/>
  <c r="O88" i="9"/>
  <c r="K88" i="9"/>
  <c r="J88" i="9"/>
  <c r="H88" i="9"/>
  <c r="O87" i="9"/>
  <c r="K87" i="9"/>
  <c r="J87" i="9"/>
  <c r="H87" i="9"/>
  <c r="O86" i="9"/>
  <c r="K86" i="9"/>
  <c r="J86" i="9"/>
  <c r="H86" i="9"/>
  <c r="O85" i="9"/>
  <c r="K85" i="9"/>
  <c r="J85" i="9"/>
  <c r="H85" i="9"/>
  <c r="O84" i="9"/>
  <c r="K84" i="9"/>
  <c r="J84" i="9"/>
  <c r="H84" i="9"/>
  <c r="O83" i="9"/>
  <c r="K83" i="9"/>
  <c r="J83" i="9"/>
  <c r="H83" i="9"/>
  <c r="O82" i="9"/>
  <c r="K82" i="9"/>
  <c r="M81" i="9" s="1"/>
  <c r="J82" i="9"/>
  <c r="H82" i="9"/>
  <c r="L81" i="9"/>
  <c r="J81" i="9"/>
  <c r="K81" i="9" s="1"/>
  <c r="H81" i="9"/>
  <c r="O80" i="9"/>
  <c r="K80" i="9"/>
  <c r="J80" i="9"/>
  <c r="H80" i="9"/>
  <c r="O79" i="9"/>
  <c r="K79" i="9"/>
  <c r="J79" i="9"/>
  <c r="H79" i="9"/>
  <c r="O78" i="9"/>
  <c r="K78" i="9"/>
  <c r="J78" i="9"/>
  <c r="H78" i="9"/>
  <c r="O77" i="9"/>
  <c r="K77" i="9"/>
  <c r="J77" i="9"/>
  <c r="H77" i="9"/>
  <c r="O76" i="9"/>
  <c r="K76" i="9"/>
  <c r="J76" i="9"/>
  <c r="H76" i="9"/>
  <c r="O75" i="9"/>
  <c r="K75" i="9"/>
  <c r="J75" i="9"/>
  <c r="H75" i="9"/>
  <c r="O74" i="9"/>
  <c r="K74" i="9"/>
  <c r="J74" i="9"/>
  <c r="H74" i="9"/>
  <c r="O73" i="9"/>
  <c r="K73" i="9"/>
  <c r="J73" i="9"/>
  <c r="H73" i="9"/>
  <c r="O72" i="9"/>
  <c r="K72" i="9"/>
  <c r="J72" i="9"/>
  <c r="H72" i="9"/>
  <c r="O71" i="9"/>
  <c r="K71" i="9"/>
  <c r="M70" i="9" s="1"/>
  <c r="J71" i="9"/>
  <c r="H71" i="9"/>
  <c r="L70" i="9"/>
  <c r="J70" i="9"/>
  <c r="K70" i="9" s="1"/>
  <c r="H70" i="9"/>
  <c r="O69" i="9"/>
  <c r="K69" i="9"/>
  <c r="J69" i="9"/>
  <c r="H69" i="9"/>
  <c r="O68" i="9"/>
  <c r="K68" i="9"/>
  <c r="J68" i="9"/>
  <c r="H68" i="9"/>
  <c r="O67" i="9"/>
  <c r="K67" i="9"/>
  <c r="J67" i="9"/>
  <c r="H67" i="9"/>
  <c r="O66" i="9"/>
  <c r="K66" i="9"/>
  <c r="J66" i="9"/>
  <c r="H66" i="9"/>
  <c r="O65" i="9"/>
  <c r="K65" i="9"/>
  <c r="J65" i="9"/>
  <c r="H65" i="9"/>
  <c r="O64" i="9"/>
  <c r="K64" i="9"/>
  <c r="J64" i="9"/>
  <c r="H64" i="9"/>
  <c r="O63" i="9"/>
  <c r="K63" i="9"/>
  <c r="J63" i="9"/>
  <c r="H63" i="9"/>
  <c r="O62" i="9"/>
  <c r="K62" i="9"/>
  <c r="J62" i="9"/>
  <c r="H62" i="9"/>
  <c r="O61" i="9"/>
  <c r="K61" i="9"/>
  <c r="J61" i="9"/>
  <c r="H61" i="9"/>
  <c r="O60" i="9"/>
  <c r="K60" i="9"/>
  <c r="M59" i="9" s="1"/>
  <c r="J60" i="9"/>
  <c r="H60" i="9"/>
  <c r="L59" i="9"/>
  <c r="J59" i="9"/>
  <c r="K59" i="9" s="1"/>
  <c r="H59" i="9"/>
  <c r="O58" i="9"/>
  <c r="K58" i="9"/>
  <c r="J58" i="9"/>
  <c r="H58" i="9"/>
  <c r="O57" i="9"/>
  <c r="K57" i="9"/>
  <c r="J57" i="9"/>
  <c r="H57" i="9"/>
  <c r="O56" i="9"/>
  <c r="K56" i="9"/>
  <c r="J56" i="9"/>
  <c r="H56" i="9"/>
  <c r="O55" i="9"/>
  <c r="K55" i="9"/>
  <c r="J55" i="9"/>
  <c r="H55" i="9"/>
  <c r="O54" i="9"/>
  <c r="K54" i="9"/>
  <c r="J54" i="9"/>
  <c r="H54" i="9"/>
  <c r="O53" i="9"/>
  <c r="K53" i="9"/>
  <c r="J53" i="9"/>
  <c r="H53" i="9"/>
  <c r="O52" i="9"/>
  <c r="K52" i="9"/>
  <c r="J52" i="9"/>
  <c r="H52" i="9"/>
  <c r="O51" i="9"/>
  <c r="K51" i="9"/>
  <c r="J51" i="9"/>
  <c r="H51" i="9"/>
  <c r="O50" i="9"/>
  <c r="K50" i="9"/>
  <c r="J50" i="9"/>
  <c r="H50" i="9"/>
  <c r="O49" i="9"/>
  <c r="K49" i="9"/>
  <c r="M48" i="9" s="1"/>
  <c r="J49" i="9"/>
  <c r="H49" i="9"/>
  <c r="L48" i="9"/>
  <c r="J48" i="9"/>
  <c r="K48" i="9" s="1"/>
  <c r="H48" i="9"/>
  <c r="O47" i="9"/>
  <c r="K47" i="9"/>
  <c r="J47" i="9"/>
  <c r="H47" i="9"/>
  <c r="O46" i="9"/>
  <c r="K46" i="9"/>
  <c r="J46" i="9"/>
  <c r="H46" i="9"/>
  <c r="O45" i="9"/>
  <c r="K45" i="9"/>
  <c r="J45" i="9"/>
  <c r="H45" i="9"/>
  <c r="O44" i="9"/>
  <c r="K44" i="9"/>
  <c r="J44" i="9"/>
  <c r="H44" i="9"/>
  <c r="O43" i="9"/>
  <c r="K43" i="9"/>
  <c r="J43" i="9"/>
  <c r="H43" i="9"/>
  <c r="O42" i="9"/>
  <c r="K42" i="9"/>
  <c r="J42" i="9"/>
  <c r="H42" i="9"/>
  <c r="O41" i="9"/>
  <c r="K41" i="9"/>
  <c r="J41" i="9"/>
  <c r="H41" i="9"/>
  <c r="O40" i="9"/>
  <c r="K40" i="9"/>
  <c r="J40" i="9"/>
  <c r="H40" i="9"/>
  <c r="O39" i="9"/>
  <c r="K39" i="9"/>
  <c r="J39" i="9"/>
  <c r="H39" i="9"/>
  <c r="O38" i="9"/>
  <c r="K38" i="9"/>
  <c r="M37" i="9" s="1"/>
  <c r="J38" i="9"/>
  <c r="H38" i="9"/>
  <c r="L37" i="9"/>
  <c r="J37" i="9"/>
  <c r="K37" i="9" s="1"/>
  <c r="H37" i="9"/>
  <c r="O36" i="9"/>
  <c r="K36" i="9"/>
  <c r="J36" i="9"/>
  <c r="H36" i="9"/>
  <c r="O35" i="9"/>
  <c r="K35" i="9"/>
  <c r="J35" i="9"/>
  <c r="H35" i="9"/>
  <c r="O34" i="9"/>
  <c r="K34" i="9"/>
  <c r="J34" i="9"/>
  <c r="H34" i="9"/>
  <c r="O33" i="9"/>
  <c r="K33" i="9"/>
  <c r="J33" i="9"/>
  <c r="H33" i="9"/>
  <c r="O32" i="9"/>
  <c r="K32" i="9"/>
  <c r="J32" i="9"/>
  <c r="H32" i="9"/>
  <c r="O31" i="9"/>
  <c r="K31" i="9"/>
  <c r="J31" i="9"/>
  <c r="H31" i="9"/>
  <c r="O30" i="9"/>
  <c r="K30" i="9"/>
  <c r="J30" i="9"/>
  <c r="H30" i="9"/>
  <c r="O29" i="9"/>
  <c r="K29" i="9"/>
  <c r="J29" i="9"/>
  <c r="H29" i="9"/>
  <c r="O28" i="9"/>
  <c r="K28" i="9"/>
  <c r="J28" i="9"/>
  <c r="H28" i="9"/>
  <c r="O27" i="9"/>
  <c r="K27" i="9"/>
  <c r="M26" i="9" s="1"/>
  <c r="J27" i="9"/>
  <c r="H27" i="9"/>
  <c r="L26" i="9"/>
  <c r="J26" i="9"/>
  <c r="K26" i="9" s="1"/>
  <c r="H26" i="9"/>
  <c r="O25" i="9"/>
  <c r="K25" i="9"/>
  <c r="J25" i="9"/>
  <c r="H25" i="9"/>
  <c r="O24" i="9"/>
  <c r="K24" i="9"/>
  <c r="J24" i="9"/>
  <c r="H24" i="9"/>
  <c r="O23" i="9"/>
  <c r="K23" i="9"/>
  <c r="J23" i="9"/>
  <c r="H23" i="9"/>
  <c r="O22" i="9"/>
  <c r="K22" i="9"/>
  <c r="J22" i="9"/>
  <c r="H22" i="9"/>
  <c r="O21" i="9"/>
  <c r="K21" i="9"/>
  <c r="J21" i="9"/>
  <c r="H21" i="9"/>
  <c r="O20" i="9"/>
  <c r="K20" i="9"/>
  <c r="J20" i="9"/>
  <c r="H20" i="9"/>
  <c r="O19" i="9"/>
  <c r="K19" i="9"/>
  <c r="J19" i="9"/>
  <c r="H19" i="9"/>
  <c r="O18" i="9"/>
  <c r="K18" i="9"/>
  <c r="J18" i="9"/>
  <c r="H18" i="9"/>
  <c r="O17" i="9"/>
  <c r="K17" i="9"/>
  <c r="J17" i="9"/>
  <c r="H17" i="9"/>
  <c r="O16" i="9"/>
  <c r="K16" i="9"/>
  <c r="M15" i="9" s="1"/>
  <c r="J16" i="9"/>
  <c r="H16" i="9"/>
  <c r="L15" i="9"/>
  <c r="J15" i="9"/>
  <c r="K15" i="9" s="1"/>
  <c r="H15" i="9"/>
  <c r="O14" i="9"/>
  <c r="K14" i="9"/>
  <c r="J14" i="9"/>
  <c r="H14" i="9"/>
  <c r="O13" i="9"/>
  <c r="K13" i="9"/>
  <c r="J13" i="9"/>
  <c r="H13" i="9"/>
  <c r="O12" i="9"/>
  <c r="K12" i="9"/>
  <c r="J12" i="9"/>
  <c r="H12" i="9"/>
  <c r="O11" i="9"/>
  <c r="K11" i="9"/>
  <c r="J11" i="9"/>
  <c r="H11" i="9"/>
  <c r="O10" i="9"/>
  <c r="K10" i="9"/>
  <c r="J10" i="9"/>
  <c r="H10" i="9"/>
  <c r="O9" i="9"/>
  <c r="K9" i="9"/>
  <c r="J9" i="9"/>
  <c r="H9" i="9"/>
  <c r="O8" i="9"/>
  <c r="K8" i="9"/>
  <c r="J8" i="9"/>
  <c r="H8" i="9"/>
  <c r="O7" i="9"/>
  <c r="K7" i="9"/>
  <c r="J7" i="9"/>
  <c r="H7" i="9"/>
  <c r="O6" i="9"/>
  <c r="K6" i="9"/>
  <c r="J6" i="9"/>
  <c r="H6" i="9"/>
  <c r="O5" i="9"/>
  <c r="K5" i="9"/>
  <c r="N4" i="9" s="1"/>
  <c r="O4" i="9" s="1"/>
  <c r="J5" i="9"/>
  <c r="H5" i="9"/>
  <c r="D3" i="9" s="1"/>
  <c r="M4" i="9"/>
  <c r="L4" i="9"/>
  <c r="J4" i="9"/>
  <c r="J114" i="9" s="1"/>
  <c r="K114" i="9" s="1"/>
  <c r="H4" i="9"/>
  <c r="D4" i="9"/>
  <c r="C8" i="2"/>
  <c r="F114" i="8"/>
  <c r="O113" i="8"/>
  <c r="K113" i="8"/>
  <c r="J113" i="8"/>
  <c r="H113" i="8"/>
  <c r="O112" i="8"/>
  <c r="K112" i="8"/>
  <c r="J112" i="8"/>
  <c r="H112" i="8"/>
  <c r="O111" i="8"/>
  <c r="K111" i="8"/>
  <c r="J111" i="8"/>
  <c r="H111" i="8"/>
  <c r="O110" i="8"/>
  <c r="K110" i="8"/>
  <c r="J110" i="8"/>
  <c r="H110" i="8"/>
  <c r="O109" i="8"/>
  <c r="K109" i="8"/>
  <c r="J109" i="8"/>
  <c r="H109" i="8"/>
  <c r="O108" i="8"/>
  <c r="K108" i="8"/>
  <c r="J108" i="8"/>
  <c r="H108" i="8"/>
  <c r="O107" i="8"/>
  <c r="K107" i="8"/>
  <c r="J107" i="8"/>
  <c r="H107" i="8"/>
  <c r="O106" i="8"/>
  <c r="K106" i="8"/>
  <c r="J106" i="8"/>
  <c r="H106" i="8"/>
  <c r="O105" i="8"/>
  <c r="K105" i="8"/>
  <c r="J105" i="8"/>
  <c r="H105" i="8"/>
  <c r="O104" i="8"/>
  <c r="K104" i="8"/>
  <c r="J104" i="8"/>
  <c r="H104" i="8"/>
  <c r="M103" i="8"/>
  <c r="L103" i="8"/>
  <c r="J103" i="8"/>
  <c r="K103" i="8" s="1"/>
  <c r="H103" i="8"/>
  <c r="O102" i="8"/>
  <c r="K102" i="8"/>
  <c r="J102" i="8"/>
  <c r="H102" i="8"/>
  <c r="O101" i="8"/>
  <c r="K101" i="8"/>
  <c r="J101" i="8"/>
  <c r="H101" i="8"/>
  <c r="O100" i="8"/>
  <c r="K100" i="8"/>
  <c r="J100" i="8"/>
  <c r="H100" i="8"/>
  <c r="O99" i="8"/>
  <c r="K99" i="8"/>
  <c r="J99" i="8"/>
  <c r="H99" i="8"/>
  <c r="O98" i="8"/>
  <c r="K98" i="8"/>
  <c r="J98" i="8"/>
  <c r="H98" i="8"/>
  <c r="O97" i="8"/>
  <c r="K97" i="8"/>
  <c r="J97" i="8"/>
  <c r="H97" i="8"/>
  <c r="O96" i="8"/>
  <c r="K96" i="8"/>
  <c r="J96" i="8"/>
  <c r="H96" i="8"/>
  <c r="O95" i="8"/>
  <c r="K95" i="8"/>
  <c r="J95" i="8"/>
  <c r="H95" i="8"/>
  <c r="O94" i="8"/>
  <c r="K94" i="8"/>
  <c r="J94" i="8"/>
  <c r="H94" i="8"/>
  <c r="O93" i="8"/>
  <c r="K93" i="8"/>
  <c r="J93" i="8"/>
  <c r="H93" i="8"/>
  <c r="M92" i="8"/>
  <c r="L92" i="8"/>
  <c r="J92" i="8"/>
  <c r="K92" i="8" s="1"/>
  <c r="H92" i="8"/>
  <c r="O91" i="8"/>
  <c r="K91" i="8"/>
  <c r="J91" i="8"/>
  <c r="H91" i="8"/>
  <c r="O90" i="8"/>
  <c r="K90" i="8"/>
  <c r="J90" i="8"/>
  <c r="H90" i="8"/>
  <c r="O89" i="8"/>
  <c r="K89" i="8"/>
  <c r="J89" i="8"/>
  <c r="H89" i="8"/>
  <c r="O88" i="8"/>
  <c r="K88" i="8"/>
  <c r="J88" i="8"/>
  <c r="H88" i="8"/>
  <c r="O87" i="8"/>
  <c r="K87" i="8"/>
  <c r="J87" i="8"/>
  <c r="H87" i="8"/>
  <c r="O86" i="8"/>
  <c r="K86" i="8"/>
  <c r="J86" i="8"/>
  <c r="H86" i="8"/>
  <c r="O85" i="8"/>
  <c r="K85" i="8"/>
  <c r="J85" i="8"/>
  <c r="H85" i="8"/>
  <c r="O84" i="8"/>
  <c r="K84" i="8"/>
  <c r="J84" i="8"/>
  <c r="H84" i="8"/>
  <c r="O83" i="8"/>
  <c r="K83" i="8"/>
  <c r="J83" i="8"/>
  <c r="H83" i="8"/>
  <c r="O82" i="8"/>
  <c r="K82" i="8"/>
  <c r="J82" i="8"/>
  <c r="H82" i="8"/>
  <c r="M81" i="8"/>
  <c r="L81" i="8"/>
  <c r="J81" i="8"/>
  <c r="K81" i="8" s="1"/>
  <c r="H81" i="8"/>
  <c r="O80" i="8"/>
  <c r="K80" i="8"/>
  <c r="J80" i="8"/>
  <c r="H80" i="8"/>
  <c r="O79" i="8"/>
  <c r="K79" i="8"/>
  <c r="J79" i="8"/>
  <c r="H79" i="8"/>
  <c r="O78" i="8"/>
  <c r="K78" i="8"/>
  <c r="J78" i="8"/>
  <c r="H78" i="8"/>
  <c r="O77" i="8"/>
  <c r="K77" i="8"/>
  <c r="J77" i="8"/>
  <c r="H77" i="8"/>
  <c r="O76" i="8"/>
  <c r="K76" i="8"/>
  <c r="J76" i="8"/>
  <c r="H76" i="8"/>
  <c r="O75" i="8"/>
  <c r="K75" i="8"/>
  <c r="J75" i="8"/>
  <c r="H75" i="8"/>
  <c r="O74" i="8"/>
  <c r="K74" i="8"/>
  <c r="J74" i="8"/>
  <c r="H74" i="8"/>
  <c r="O73" i="8"/>
  <c r="K73" i="8"/>
  <c r="J73" i="8"/>
  <c r="H73" i="8"/>
  <c r="O72" i="8"/>
  <c r="K72" i="8"/>
  <c r="J72" i="8"/>
  <c r="H72" i="8"/>
  <c r="O71" i="8"/>
  <c r="K71" i="8"/>
  <c r="J71" i="8"/>
  <c r="H71" i="8"/>
  <c r="M70" i="8"/>
  <c r="L70" i="8"/>
  <c r="J70" i="8"/>
  <c r="K70" i="8" s="1"/>
  <c r="H70" i="8"/>
  <c r="O69" i="8"/>
  <c r="K69" i="8"/>
  <c r="J69" i="8"/>
  <c r="H69" i="8"/>
  <c r="O68" i="8"/>
  <c r="K68" i="8"/>
  <c r="J68" i="8"/>
  <c r="H68" i="8"/>
  <c r="O67" i="8"/>
  <c r="K67" i="8"/>
  <c r="J67" i="8"/>
  <c r="H67" i="8"/>
  <c r="O66" i="8"/>
  <c r="K66" i="8"/>
  <c r="J66" i="8"/>
  <c r="H66" i="8"/>
  <c r="O65" i="8"/>
  <c r="K65" i="8"/>
  <c r="J65" i="8"/>
  <c r="H65" i="8"/>
  <c r="O64" i="8"/>
  <c r="K64" i="8"/>
  <c r="J64" i="8"/>
  <c r="H64" i="8"/>
  <c r="O63" i="8"/>
  <c r="K63" i="8"/>
  <c r="J63" i="8"/>
  <c r="H63" i="8"/>
  <c r="O62" i="8"/>
  <c r="K62" i="8"/>
  <c r="J62" i="8"/>
  <c r="H62" i="8"/>
  <c r="O61" i="8"/>
  <c r="K61" i="8"/>
  <c r="J61" i="8"/>
  <c r="H61" i="8"/>
  <c r="O60" i="8"/>
  <c r="K60" i="8"/>
  <c r="J60" i="8"/>
  <c r="H60" i="8"/>
  <c r="M59" i="8"/>
  <c r="L59" i="8"/>
  <c r="J59" i="8"/>
  <c r="K59" i="8" s="1"/>
  <c r="H59" i="8"/>
  <c r="O58" i="8"/>
  <c r="K58" i="8"/>
  <c r="J58" i="8"/>
  <c r="H58" i="8"/>
  <c r="O57" i="8"/>
  <c r="K57" i="8"/>
  <c r="J57" i="8"/>
  <c r="H57" i="8"/>
  <c r="O56" i="8"/>
  <c r="K56" i="8"/>
  <c r="J56" i="8"/>
  <c r="H56" i="8"/>
  <c r="O55" i="8"/>
  <c r="K55" i="8"/>
  <c r="J55" i="8"/>
  <c r="H55" i="8"/>
  <c r="O54" i="8"/>
  <c r="K54" i="8"/>
  <c r="J54" i="8"/>
  <c r="H54" i="8"/>
  <c r="O53" i="8"/>
  <c r="K53" i="8"/>
  <c r="J53" i="8"/>
  <c r="H53" i="8"/>
  <c r="O52" i="8"/>
  <c r="K52" i="8"/>
  <c r="J52" i="8"/>
  <c r="H52" i="8"/>
  <c r="O51" i="8"/>
  <c r="K51" i="8"/>
  <c r="J51" i="8"/>
  <c r="H51" i="8"/>
  <c r="O50" i="8"/>
  <c r="K50" i="8"/>
  <c r="J50" i="8"/>
  <c r="H50" i="8"/>
  <c r="O49" i="8"/>
  <c r="K49" i="8"/>
  <c r="J49" i="8"/>
  <c r="H49" i="8"/>
  <c r="M48" i="8"/>
  <c r="L48" i="8"/>
  <c r="J48" i="8"/>
  <c r="K48" i="8" s="1"/>
  <c r="H48" i="8"/>
  <c r="O47" i="8"/>
  <c r="K47" i="8"/>
  <c r="J47" i="8"/>
  <c r="H47" i="8"/>
  <c r="O46" i="8"/>
  <c r="K46" i="8"/>
  <c r="J46" i="8"/>
  <c r="H46" i="8"/>
  <c r="O45" i="8"/>
  <c r="K45" i="8"/>
  <c r="J45" i="8"/>
  <c r="H45" i="8"/>
  <c r="O44" i="8"/>
  <c r="K44" i="8"/>
  <c r="J44" i="8"/>
  <c r="H44" i="8"/>
  <c r="O43" i="8"/>
  <c r="K43" i="8"/>
  <c r="J43" i="8"/>
  <c r="H43" i="8"/>
  <c r="O42" i="8"/>
  <c r="K42" i="8"/>
  <c r="J42" i="8"/>
  <c r="H42" i="8"/>
  <c r="O41" i="8"/>
  <c r="K41" i="8"/>
  <c r="J41" i="8"/>
  <c r="H41" i="8"/>
  <c r="O40" i="8"/>
  <c r="K40" i="8"/>
  <c r="J40" i="8"/>
  <c r="H40" i="8"/>
  <c r="O39" i="8"/>
  <c r="K39" i="8"/>
  <c r="J39" i="8"/>
  <c r="H39" i="8"/>
  <c r="O38" i="8"/>
  <c r="K38" i="8"/>
  <c r="J38" i="8"/>
  <c r="H38" i="8"/>
  <c r="M37" i="8"/>
  <c r="L37" i="8"/>
  <c r="J37" i="8"/>
  <c r="K37" i="8" s="1"/>
  <c r="H37" i="8"/>
  <c r="O36" i="8"/>
  <c r="K36" i="8"/>
  <c r="J36" i="8"/>
  <c r="H36" i="8"/>
  <c r="O35" i="8"/>
  <c r="K35" i="8"/>
  <c r="J35" i="8"/>
  <c r="H35" i="8"/>
  <c r="O34" i="8"/>
  <c r="K34" i="8"/>
  <c r="J34" i="8"/>
  <c r="H34" i="8"/>
  <c r="O33" i="8"/>
  <c r="K33" i="8"/>
  <c r="J33" i="8"/>
  <c r="H33" i="8"/>
  <c r="O32" i="8"/>
  <c r="K32" i="8"/>
  <c r="J32" i="8"/>
  <c r="H32" i="8"/>
  <c r="O31" i="8"/>
  <c r="K31" i="8"/>
  <c r="J31" i="8"/>
  <c r="H31" i="8"/>
  <c r="O30" i="8"/>
  <c r="K30" i="8"/>
  <c r="J30" i="8"/>
  <c r="H30" i="8"/>
  <c r="O29" i="8"/>
  <c r="K29" i="8"/>
  <c r="J29" i="8"/>
  <c r="H29" i="8"/>
  <c r="O28" i="8"/>
  <c r="K28" i="8"/>
  <c r="J28" i="8"/>
  <c r="H28" i="8"/>
  <c r="O27" i="8"/>
  <c r="K27" i="8"/>
  <c r="J27" i="8"/>
  <c r="H27" i="8"/>
  <c r="M26" i="8"/>
  <c r="L26" i="8"/>
  <c r="J26" i="8"/>
  <c r="K26" i="8" s="1"/>
  <c r="H26" i="8"/>
  <c r="O25" i="8"/>
  <c r="K25" i="8"/>
  <c r="J25" i="8"/>
  <c r="H25" i="8"/>
  <c r="O24" i="8"/>
  <c r="K24" i="8"/>
  <c r="J24" i="8"/>
  <c r="H24" i="8"/>
  <c r="O23" i="8"/>
  <c r="K23" i="8"/>
  <c r="J23" i="8"/>
  <c r="H23" i="8"/>
  <c r="O22" i="8"/>
  <c r="K22" i="8"/>
  <c r="J22" i="8"/>
  <c r="H22" i="8"/>
  <c r="O21" i="8"/>
  <c r="K21" i="8"/>
  <c r="J21" i="8"/>
  <c r="H21" i="8"/>
  <c r="O20" i="8"/>
  <c r="K20" i="8"/>
  <c r="J20" i="8"/>
  <c r="H20" i="8"/>
  <c r="O19" i="8"/>
  <c r="K19" i="8"/>
  <c r="J19" i="8"/>
  <c r="H19" i="8"/>
  <c r="O18" i="8"/>
  <c r="K18" i="8"/>
  <c r="J18" i="8"/>
  <c r="H18" i="8"/>
  <c r="O17" i="8"/>
  <c r="K17" i="8"/>
  <c r="J17" i="8"/>
  <c r="H17" i="8"/>
  <c r="O16" i="8"/>
  <c r="K16" i="8"/>
  <c r="J16" i="8"/>
  <c r="H16" i="8"/>
  <c r="M15" i="8"/>
  <c r="L15" i="8"/>
  <c r="J15" i="8"/>
  <c r="K15" i="8" s="1"/>
  <c r="H15" i="8"/>
  <c r="O14" i="8"/>
  <c r="K14" i="8"/>
  <c r="J14" i="8"/>
  <c r="H14" i="8"/>
  <c r="O13" i="8"/>
  <c r="K13" i="8"/>
  <c r="J13" i="8"/>
  <c r="H13" i="8"/>
  <c r="O12" i="8"/>
  <c r="K12" i="8"/>
  <c r="J12" i="8"/>
  <c r="H12" i="8"/>
  <c r="O11" i="8"/>
  <c r="K11" i="8"/>
  <c r="J11" i="8"/>
  <c r="H11" i="8"/>
  <c r="O10" i="8"/>
  <c r="K10" i="8"/>
  <c r="J10" i="8"/>
  <c r="H10" i="8"/>
  <c r="O9" i="8"/>
  <c r="K9" i="8"/>
  <c r="J9" i="8"/>
  <c r="H9" i="8"/>
  <c r="O8" i="8"/>
  <c r="K8" i="8"/>
  <c r="J8" i="8"/>
  <c r="H8" i="8"/>
  <c r="O7" i="8"/>
  <c r="K7" i="8"/>
  <c r="J7" i="8"/>
  <c r="H7" i="8"/>
  <c r="O6" i="8"/>
  <c r="K6" i="8"/>
  <c r="J6" i="8"/>
  <c r="H6" i="8"/>
  <c r="O5" i="8"/>
  <c r="K5" i="8"/>
  <c r="J5" i="8"/>
  <c r="H5" i="8"/>
  <c r="N4" i="8"/>
  <c r="O4" i="8" s="1"/>
  <c r="M4" i="8"/>
  <c r="L4" i="8"/>
  <c r="J4" i="8"/>
  <c r="H4" i="8"/>
  <c r="D4" i="8" s="1"/>
  <c r="C7" i="2"/>
  <c r="F114" i="7"/>
  <c r="O113" i="7"/>
  <c r="K113" i="7"/>
  <c r="J113" i="7"/>
  <c r="H113" i="7"/>
  <c r="O112" i="7"/>
  <c r="K112" i="7"/>
  <c r="J112" i="7"/>
  <c r="H112" i="7"/>
  <c r="O111" i="7"/>
  <c r="K111" i="7"/>
  <c r="J111" i="7"/>
  <c r="H111" i="7"/>
  <c r="O110" i="7"/>
  <c r="K110" i="7"/>
  <c r="J110" i="7"/>
  <c r="H110" i="7"/>
  <c r="O109" i="7"/>
  <c r="K109" i="7"/>
  <c r="J109" i="7"/>
  <c r="H109" i="7"/>
  <c r="O108" i="7"/>
  <c r="K108" i="7"/>
  <c r="J108" i="7"/>
  <c r="H108" i="7"/>
  <c r="O107" i="7"/>
  <c r="K107" i="7"/>
  <c r="J107" i="7"/>
  <c r="H107" i="7"/>
  <c r="O106" i="7"/>
  <c r="K106" i="7"/>
  <c r="J106" i="7"/>
  <c r="H106" i="7"/>
  <c r="O105" i="7"/>
  <c r="K105" i="7"/>
  <c r="J105" i="7"/>
  <c r="H105" i="7"/>
  <c r="O104" i="7"/>
  <c r="K104" i="7"/>
  <c r="M103" i="7" s="1"/>
  <c r="J104" i="7"/>
  <c r="H104" i="7"/>
  <c r="L103" i="7"/>
  <c r="J103" i="7"/>
  <c r="K103" i="7" s="1"/>
  <c r="H103" i="7"/>
  <c r="O102" i="7"/>
  <c r="K102" i="7"/>
  <c r="J102" i="7"/>
  <c r="H102" i="7"/>
  <c r="O101" i="7"/>
  <c r="K101" i="7"/>
  <c r="J101" i="7"/>
  <c r="H101" i="7"/>
  <c r="O100" i="7"/>
  <c r="K100" i="7"/>
  <c r="J100" i="7"/>
  <c r="H100" i="7"/>
  <c r="O99" i="7"/>
  <c r="K99" i="7"/>
  <c r="J99" i="7"/>
  <c r="H99" i="7"/>
  <c r="O98" i="7"/>
  <c r="K98" i="7"/>
  <c r="J98" i="7"/>
  <c r="H98" i="7"/>
  <c r="O97" i="7"/>
  <c r="K97" i="7"/>
  <c r="J97" i="7"/>
  <c r="H97" i="7"/>
  <c r="O96" i="7"/>
  <c r="K96" i="7"/>
  <c r="J96" i="7"/>
  <c r="H96" i="7"/>
  <c r="O95" i="7"/>
  <c r="K95" i="7"/>
  <c r="J95" i="7"/>
  <c r="H95" i="7"/>
  <c r="O94" i="7"/>
  <c r="K94" i="7"/>
  <c r="J94" i="7"/>
  <c r="H94" i="7"/>
  <c r="O93" i="7"/>
  <c r="K93" i="7"/>
  <c r="M92" i="7" s="1"/>
  <c r="J93" i="7"/>
  <c r="H93" i="7"/>
  <c r="L92" i="7"/>
  <c r="J92" i="7"/>
  <c r="K92" i="7" s="1"/>
  <c r="H92" i="7"/>
  <c r="O91" i="7"/>
  <c r="K91" i="7"/>
  <c r="J91" i="7"/>
  <c r="H91" i="7"/>
  <c r="O90" i="7"/>
  <c r="K90" i="7"/>
  <c r="J90" i="7"/>
  <c r="H90" i="7"/>
  <c r="O89" i="7"/>
  <c r="K89" i="7"/>
  <c r="J89" i="7"/>
  <c r="H89" i="7"/>
  <c r="O88" i="7"/>
  <c r="K88" i="7"/>
  <c r="J88" i="7"/>
  <c r="H88" i="7"/>
  <c r="O87" i="7"/>
  <c r="K87" i="7"/>
  <c r="J87" i="7"/>
  <c r="H87" i="7"/>
  <c r="O86" i="7"/>
  <c r="K86" i="7"/>
  <c r="J86" i="7"/>
  <c r="H86" i="7"/>
  <c r="O85" i="7"/>
  <c r="K85" i="7"/>
  <c r="J85" i="7"/>
  <c r="H85" i="7"/>
  <c r="O84" i="7"/>
  <c r="K84" i="7"/>
  <c r="J84" i="7"/>
  <c r="H84" i="7"/>
  <c r="O83" i="7"/>
  <c r="K83" i="7"/>
  <c r="J83" i="7"/>
  <c r="H83" i="7"/>
  <c r="O82" i="7"/>
  <c r="K82" i="7"/>
  <c r="M81" i="7" s="1"/>
  <c r="J82" i="7"/>
  <c r="H82" i="7"/>
  <c r="L81" i="7"/>
  <c r="J81" i="7"/>
  <c r="K81" i="7" s="1"/>
  <c r="H81" i="7"/>
  <c r="O80" i="7"/>
  <c r="K80" i="7"/>
  <c r="J80" i="7"/>
  <c r="H80" i="7"/>
  <c r="O79" i="7"/>
  <c r="K79" i="7"/>
  <c r="J79" i="7"/>
  <c r="H79" i="7"/>
  <c r="O78" i="7"/>
  <c r="K78" i="7"/>
  <c r="J78" i="7"/>
  <c r="H78" i="7"/>
  <c r="O77" i="7"/>
  <c r="K77" i="7"/>
  <c r="J77" i="7"/>
  <c r="H77" i="7"/>
  <c r="O76" i="7"/>
  <c r="K76" i="7"/>
  <c r="J76" i="7"/>
  <c r="H76" i="7"/>
  <c r="O75" i="7"/>
  <c r="K75" i="7"/>
  <c r="J75" i="7"/>
  <c r="H75" i="7"/>
  <c r="O74" i="7"/>
  <c r="K74" i="7"/>
  <c r="J74" i="7"/>
  <c r="H74" i="7"/>
  <c r="O73" i="7"/>
  <c r="K73" i="7"/>
  <c r="J73" i="7"/>
  <c r="H73" i="7"/>
  <c r="O72" i="7"/>
  <c r="K72" i="7"/>
  <c r="J72" i="7"/>
  <c r="H72" i="7"/>
  <c r="O71" i="7"/>
  <c r="K71" i="7"/>
  <c r="M70" i="7" s="1"/>
  <c r="J71" i="7"/>
  <c r="H71" i="7"/>
  <c r="L70" i="7"/>
  <c r="J70" i="7"/>
  <c r="K70" i="7" s="1"/>
  <c r="H70" i="7"/>
  <c r="O69" i="7"/>
  <c r="K69" i="7"/>
  <c r="J69" i="7"/>
  <c r="H69" i="7"/>
  <c r="O68" i="7"/>
  <c r="K68" i="7"/>
  <c r="J68" i="7"/>
  <c r="H68" i="7"/>
  <c r="O67" i="7"/>
  <c r="K67" i="7"/>
  <c r="J67" i="7"/>
  <c r="H67" i="7"/>
  <c r="O66" i="7"/>
  <c r="K66" i="7"/>
  <c r="J66" i="7"/>
  <c r="H66" i="7"/>
  <c r="O65" i="7"/>
  <c r="K65" i="7"/>
  <c r="J65" i="7"/>
  <c r="H65" i="7"/>
  <c r="O64" i="7"/>
  <c r="K64" i="7"/>
  <c r="J64" i="7"/>
  <c r="H64" i="7"/>
  <c r="O63" i="7"/>
  <c r="K63" i="7"/>
  <c r="J63" i="7"/>
  <c r="H63" i="7"/>
  <c r="O62" i="7"/>
  <c r="K62" i="7"/>
  <c r="J62" i="7"/>
  <c r="H62" i="7"/>
  <c r="O61" i="7"/>
  <c r="K61" i="7"/>
  <c r="J61" i="7"/>
  <c r="H61" i="7"/>
  <c r="O60" i="7"/>
  <c r="K60" i="7"/>
  <c r="M59" i="7" s="1"/>
  <c r="J60" i="7"/>
  <c r="H60" i="7"/>
  <c r="L59" i="7"/>
  <c r="J59" i="7"/>
  <c r="K59" i="7" s="1"/>
  <c r="H59" i="7"/>
  <c r="O58" i="7"/>
  <c r="K58" i="7"/>
  <c r="J58" i="7"/>
  <c r="H58" i="7"/>
  <c r="O57" i="7"/>
  <c r="K57" i="7"/>
  <c r="J57" i="7"/>
  <c r="H57" i="7"/>
  <c r="O56" i="7"/>
  <c r="K56" i="7"/>
  <c r="J56" i="7"/>
  <c r="H56" i="7"/>
  <c r="O55" i="7"/>
  <c r="K55" i="7"/>
  <c r="J55" i="7"/>
  <c r="H55" i="7"/>
  <c r="O54" i="7"/>
  <c r="K54" i="7"/>
  <c r="J54" i="7"/>
  <c r="H54" i="7"/>
  <c r="O53" i="7"/>
  <c r="K53" i="7"/>
  <c r="J53" i="7"/>
  <c r="H53" i="7"/>
  <c r="O52" i="7"/>
  <c r="K52" i="7"/>
  <c r="J52" i="7"/>
  <c r="H52" i="7"/>
  <c r="O51" i="7"/>
  <c r="K51" i="7"/>
  <c r="J51" i="7"/>
  <c r="H51" i="7"/>
  <c r="O50" i="7"/>
  <c r="K50" i="7"/>
  <c r="J50" i="7"/>
  <c r="H50" i="7"/>
  <c r="O49" i="7"/>
  <c r="K49" i="7"/>
  <c r="M48" i="7" s="1"/>
  <c r="J49" i="7"/>
  <c r="H49" i="7"/>
  <c r="L48" i="7"/>
  <c r="J48" i="7"/>
  <c r="K48" i="7" s="1"/>
  <c r="H48" i="7"/>
  <c r="O47" i="7"/>
  <c r="K47" i="7"/>
  <c r="J47" i="7"/>
  <c r="H47" i="7"/>
  <c r="O46" i="7"/>
  <c r="K46" i="7"/>
  <c r="J46" i="7"/>
  <c r="H46" i="7"/>
  <c r="O45" i="7"/>
  <c r="K45" i="7"/>
  <c r="J45" i="7"/>
  <c r="H45" i="7"/>
  <c r="O44" i="7"/>
  <c r="K44" i="7"/>
  <c r="J44" i="7"/>
  <c r="H44" i="7"/>
  <c r="O43" i="7"/>
  <c r="K43" i="7"/>
  <c r="J43" i="7"/>
  <c r="H43" i="7"/>
  <c r="O42" i="7"/>
  <c r="K42" i="7"/>
  <c r="J42" i="7"/>
  <c r="H42" i="7"/>
  <c r="O41" i="7"/>
  <c r="K41" i="7"/>
  <c r="J41" i="7"/>
  <c r="H41" i="7"/>
  <c r="O40" i="7"/>
  <c r="K40" i="7"/>
  <c r="J40" i="7"/>
  <c r="H40" i="7"/>
  <c r="O39" i="7"/>
  <c r="K39" i="7"/>
  <c r="J39" i="7"/>
  <c r="H39" i="7"/>
  <c r="O38" i="7"/>
  <c r="K38" i="7"/>
  <c r="M37" i="7" s="1"/>
  <c r="J38" i="7"/>
  <c r="H38" i="7"/>
  <c r="L37" i="7"/>
  <c r="J37" i="7"/>
  <c r="K37" i="7" s="1"/>
  <c r="H37" i="7"/>
  <c r="O36" i="7"/>
  <c r="K36" i="7"/>
  <c r="J36" i="7"/>
  <c r="H36" i="7"/>
  <c r="O35" i="7"/>
  <c r="K35" i="7"/>
  <c r="J35" i="7"/>
  <c r="H35" i="7"/>
  <c r="O34" i="7"/>
  <c r="K34" i="7"/>
  <c r="J34" i="7"/>
  <c r="H34" i="7"/>
  <c r="O33" i="7"/>
  <c r="K33" i="7"/>
  <c r="J33" i="7"/>
  <c r="H33" i="7"/>
  <c r="O32" i="7"/>
  <c r="K32" i="7"/>
  <c r="J32" i="7"/>
  <c r="H32" i="7"/>
  <c r="O31" i="7"/>
  <c r="K31" i="7"/>
  <c r="J31" i="7"/>
  <c r="H31" i="7"/>
  <c r="O30" i="7"/>
  <c r="K30" i="7"/>
  <c r="J30" i="7"/>
  <c r="H30" i="7"/>
  <c r="O29" i="7"/>
  <c r="K29" i="7"/>
  <c r="J29" i="7"/>
  <c r="H29" i="7"/>
  <c r="O28" i="7"/>
  <c r="K28" i="7"/>
  <c r="J28" i="7"/>
  <c r="H28" i="7"/>
  <c r="O27" i="7"/>
  <c r="K27" i="7"/>
  <c r="M26" i="7" s="1"/>
  <c r="J27" i="7"/>
  <c r="H27" i="7"/>
  <c r="L26" i="7"/>
  <c r="J26" i="7"/>
  <c r="K26" i="7" s="1"/>
  <c r="H26" i="7"/>
  <c r="O25" i="7"/>
  <c r="K25" i="7"/>
  <c r="J25" i="7"/>
  <c r="H25" i="7"/>
  <c r="O24" i="7"/>
  <c r="K24" i="7"/>
  <c r="J24" i="7"/>
  <c r="H24" i="7"/>
  <c r="O23" i="7"/>
  <c r="K23" i="7"/>
  <c r="J23" i="7"/>
  <c r="H23" i="7"/>
  <c r="O22" i="7"/>
  <c r="K22" i="7"/>
  <c r="J22" i="7"/>
  <c r="H22" i="7"/>
  <c r="O21" i="7"/>
  <c r="K21" i="7"/>
  <c r="J21" i="7"/>
  <c r="H21" i="7"/>
  <c r="O20" i="7"/>
  <c r="K20" i="7"/>
  <c r="J20" i="7"/>
  <c r="H20" i="7"/>
  <c r="O19" i="7"/>
  <c r="K19" i="7"/>
  <c r="J19" i="7"/>
  <c r="H19" i="7"/>
  <c r="O18" i="7"/>
  <c r="K18" i="7"/>
  <c r="J18" i="7"/>
  <c r="H18" i="7"/>
  <c r="O17" i="7"/>
  <c r="K17" i="7"/>
  <c r="J17" i="7"/>
  <c r="H17" i="7"/>
  <c r="O16" i="7"/>
  <c r="K16" i="7"/>
  <c r="M15" i="7" s="1"/>
  <c r="J16" i="7"/>
  <c r="H16" i="7"/>
  <c r="L15" i="7"/>
  <c r="J15" i="7"/>
  <c r="K15" i="7" s="1"/>
  <c r="H15" i="7"/>
  <c r="O14" i="7"/>
  <c r="K14" i="7"/>
  <c r="J14" i="7"/>
  <c r="H14" i="7"/>
  <c r="O13" i="7"/>
  <c r="K13" i="7"/>
  <c r="J13" i="7"/>
  <c r="H13" i="7"/>
  <c r="O12" i="7"/>
  <c r="K12" i="7"/>
  <c r="J12" i="7"/>
  <c r="H12" i="7"/>
  <c r="O11" i="7"/>
  <c r="K11" i="7"/>
  <c r="J11" i="7"/>
  <c r="H11" i="7"/>
  <c r="O10" i="7"/>
  <c r="K10" i="7"/>
  <c r="J10" i="7"/>
  <c r="H10" i="7"/>
  <c r="O9" i="7"/>
  <c r="K9" i="7"/>
  <c r="J9" i="7"/>
  <c r="H9" i="7"/>
  <c r="O8" i="7"/>
  <c r="K8" i="7"/>
  <c r="J8" i="7"/>
  <c r="H8" i="7"/>
  <c r="O7" i="7"/>
  <c r="K7" i="7"/>
  <c r="J7" i="7"/>
  <c r="H7" i="7"/>
  <c r="O6" i="7"/>
  <c r="K6" i="7"/>
  <c r="J6" i="7"/>
  <c r="H6" i="7"/>
  <c r="O5" i="7"/>
  <c r="K5" i="7"/>
  <c r="N4" i="7" s="1"/>
  <c r="O4" i="7" s="1"/>
  <c r="J5" i="7"/>
  <c r="H5" i="7"/>
  <c r="D4" i="7" s="1"/>
  <c r="M4" i="7"/>
  <c r="L4" i="7"/>
  <c r="J4" i="7"/>
  <c r="J114" i="7" s="1"/>
  <c r="K114" i="7" s="1"/>
  <c r="H4" i="7"/>
  <c r="D3" i="7" s="1"/>
  <c r="C5" i="2"/>
  <c r="F114" i="5"/>
  <c r="O113" i="5"/>
  <c r="K113" i="5"/>
  <c r="J113" i="5"/>
  <c r="H113" i="5"/>
  <c r="O112" i="5"/>
  <c r="K112" i="5"/>
  <c r="J112" i="5"/>
  <c r="H112" i="5"/>
  <c r="O111" i="5"/>
  <c r="K111" i="5"/>
  <c r="J111" i="5"/>
  <c r="H111" i="5"/>
  <c r="O110" i="5"/>
  <c r="K110" i="5"/>
  <c r="J110" i="5"/>
  <c r="H110" i="5"/>
  <c r="O109" i="5"/>
  <c r="K109" i="5"/>
  <c r="J109" i="5"/>
  <c r="H109" i="5"/>
  <c r="O108" i="5"/>
  <c r="K108" i="5"/>
  <c r="J108" i="5"/>
  <c r="H108" i="5"/>
  <c r="O107" i="5"/>
  <c r="K107" i="5"/>
  <c r="J107" i="5"/>
  <c r="H107" i="5"/>
  <c r="O106" i="5"/>
  <c r="K106" i="5"/>
  <c r="J106" i="5"/>
  <c r="H106" i="5"/>
  <c r="O105" i="5"/>
  <c r="K105" i="5"/>
  <c r="J105" i="5"/>
  <c r="H105" i="5"/>
  <c r="O104" i="5"/>
  <c r="K104" i="5"/>
  <c r="J104" i="5"/>
  <c r="H104" i="5"/>
  <c r="M103" i="5"/>
  <c r="L103" i="5"/>
  <c r="J103" i="5"/>
  <c r="K103" i="5" s="1"/>
  <c r="H103" i="5"/>
  <c r="O102" i="5"/>
  <c r="K102" i="5"/>
  <c r="J102" i="5"/>
  <c r="H102" i="5"/>
  <c r="O101" i="5"/>
  <c r="K101" i="5"/>
  <c r="J101" i="5"/>
  <c r="H101" i="5"/>
  <c r="O100" i="5"/>
  <c r="K100" i="5"/>
  <c r="J100" i="5"/>
  <c r="H100" i="5"/>
  <c r="O99" i="5"/>
  <c r="K99" i="5"/>
  <c r="J99" i="5"/>
  <c r="H99" i="5"/>
  <c r="O98" i="5"/>
  <c r="K98" i="5"/>
  <c r="J98" i="5"/>
  <c r="H98" i="5"/>
  <c r="O97" i="5"/>
  <c r="K97" i="5"/>
  <c r="J97" i="5"/>
  <c r="H97" i="5"/>
  <c r="O96" i="5"/>
  <c r="K96" i="5"/>
  <c r="J96" i="5"/>
  <c r="H96" i="5"/>
  <c r="O95" i="5"/>
  <c r="K95" i="5"/>
  <c r="J95" i="5"/>
  <c r="H95" i="5"/>
  <c r="O94" i="5"/>
  <c r="K94" i="5"/>
  <c r="J94" i="5"/>
  <c r="H94" i="5"/>
  <c r="O93" i="5"/>
  <c r="K93" i="5"/>
  <c r="J93" i="5"/>
  <c r="H93" i="5"/>
  <c r="M92" i="5"/>
  <c r="L92" i="5"/>
  <c r="J92" i="5"/>
  <c r="K92" i="5" s="1"/>
  <c r="H92" i="5"/>
  <c r="O91" i="5"/>
  <c r="K91" i="5"/>
  <c r="J91" i="5"/>
  <c r="H91" i="5"/>
  <c r="O90" i="5"/>
  <c r="K90" i="5"/>
  <c r="J90" i="5"/>
  <c r="H90" i="5"/>
  <c r="O89" i="5"/>
  <c r="K89" i="5"/>
  <c r="J89" i="5"/>
  <c r="H89" i="5"/>
  <c r="O88" i="5"/>
  <c r="K88" i="5"/>
  <c r="J88" i="5"/>
  <c r="H88" i="5"/>
  <c r="O87" i="5"/>
  <c r="K87" i="5"/>
  <c r="J87" i="5"/>
  <c r="H87" i="5"/>
  <c r="O86" i="5"/>
  <c r="K86" i="5"/>
  <c r="J86" i="5"/>
  <c r="H86" i="5"/>
  <c r="O85" i="5"/>
  <c r="K85" i="5"/>
  <c r="J85" i="5"/>
  <c r="H85" i="5"/>
  <c r="O84" i="5"/>
  <c r="K84" i="5"/>
  <c r="J84" i="5"/>
  <c r="H84" i="5"/>
  <c r="O83" i="5"/>
  <c r="K83" i="5"/>
  <c r="J83" i="5"/>
  <c r="H83" i="5"/>
  <c r="O82" i="5"/>
  <c r="K82" i="5"/>
  <c r="J82" i="5"/>
  <c r="H82" i="5"/>
  <c r="M81" i="5"/>
  <c r="L81" i="5"/>
  <c r="J81" i="5"/>
  <c r="K81" i="5" s="1"/>
  <c r="H81" i="5"/>
  <c r="O80" i="5"/>
  <c r="K80" i="5"/>
  <c r="J80" i="5"/>
  <c r="H80" i="5"/>
  <c r="O79" i="5"/>
  <c r="K79" i="5"/>
  <c r="J79" i="5"/>
  <c r="H79" i="5"/>
  <c r="O78" i="5"/>
  <c r="K78" i="5"/>
  <c r="J78" i="5"/>
  <c r="H78" i="5"/>
  <c r="O77" i="5"/>
  <c r="K77" i="5"/>
  <c r="J77" i="5"/>
  <c r="H77" i="5"/>
  <c r="O76" i="5"/>
  <c r="K76" i="5"/>
  <c r="J76" i="5"/>
  <c r="H76" i="5"/>
  <c r="O75" i="5"/>
  <c r="K75" i="5"/>
  <c r="J75" i="5"/>
  <c r="H75" i="5"/>
  <c r="O74" i="5"/>
  <c r="K74" i="5"/>
  <c r="J74" i="5"/>
  <c r="H74" i="5"/>
  <c r="O73" i="5"/>
  <c r="K73" i="5"/>
  <c r="J73" i="5"/>
  <c r="H73" i="5"/>
  <c r="O72" i="5"/>
  <c r="K72" i="5"/>
  <c r="J72" i="5"/>
  <c r="H72" i="5"/>
  <c r="O71" i="5"/>
  <c r="K71" i="5"/>
  <c r="J71" i="5"/>
  <c r="H71" i="5"/>
  <c r="M70" i="5"/>
  <c r="L70" i="5"/>
  <c r="J70" i="5"/>
  <c r="K70" i="5" s="1"/>
  <c r="H70" i="5"/>
  <c r="O69" i="5"/>
  <c r="K69" i="5"/>
  <c r="J69" i="5"/>
  <c r="H69" i="5"/>
  <c r="O68" i="5"/>
  <c r="K68" i="5"/>
  <c r="J68" i="5"/>
  <c r="H68" i="5"/>
  <c r="O67" i="5"/>
  <c r="K67" i="5"/>
  <c r="J67" i="5"/>
  <c r="H67" i="5"/>
  <c r="O66" i="5"/>
  <c r="K66" i="5"/>
  <c r="J66" i="5"/>
  <c r="H66" i="5"/>
  <c r="O65" i="5"/>
  <c r="K65" i="5"/>
  <c r="J65" i="5"/>
  <c r="H65" i="5"/>
  <c r="O64" i="5"/>
  <c r="K64" i="5"/>
  <c r="J64" i="5"/>
  <c r="H64" i="5"/>
  <c r="O63" i="5"/>
  <c r="K63" i="5"/>
  <c r="J63" i="5"/>
  <c r="H63" i="5"/>
  <c r="O62" i="5"/>
  <c r="K62" i="5"/>
  <c r="J62" i="5"/>
  <c r="H62" i="5"/>
  <c r="O61" i="5"/>
  <c r="K61" i="5"/>
  <c r="J61" i="5"/>
  <c r="H61" i="5"/>
  <c r="O60" i="5"/>
  <c r="K60" i="5"/>
  <c r="J60" i="5"/>
  <c r="H60" i="5"/>
  <c r="M59" i="5"/>
  <c r="L59" i="5"/>
  <c r="J59" i="5"/>
  <c r="K59" i="5" s="1"/>
  <c r="H59" i="5"/>
  <c r="O58" i="5"/>
  <c r="K58" i="5"/>
  <c r="J58" i="5"/>
  <c r="H58" i="5"/>
  <c r="O57" i="5"/>
  <c r="K57" i="5"/>
  <c r="J57" i="5"/>
  <c r="H57" i="5"/>
  <c r="O56" i="5"/>
  <c r="K56" i="5"/>
  <c r="J56" i="5"/>
  <c r="H56" i="5"/>
  <c r="O55" i="5"/>
  <c r="K55" i="5"/>
  <c r="J55" i="5"/>
  <c r="H55" i="5"/>
  <c r="O54" i="5"/>
  <c r="K54" i="5"/>
  <c r="J54" i="5"/>
  <c r="H54" i="5"/>
  <c r="O53" i="5"/>
  <c r="K53" i="5"/>
  <c r="J53" i="5"/>
  <c r="H53" i="5"/>
  <c r="O52" i="5"/>
  <c r="K52" i="5"/>
  <c r="J52" i="5"/>
  <c r="H52" i="5"/>
  <c r="O51" i="5"/>
  <c r="K51" i="5"/>
  <c r="J51" i="5"/>
  <c r="H51" i="5"/>
  <c r="O50" i="5"/>
  <c r="K50" i="5"/>
  <c r="J50" i="5"/>
  <c r="H50" i="5"/>
  <c r="O49" i="5"/>
  <c r="K49" i="5"/>
  <c r="J49" i="5"/>
  <c r="H49" i="5"/>
  <c r="M48" i="5"/>
  <c r="L48" i="5"/>
  <c r="J48" i="5"/>
  <c r="K48" i="5" s="1"/>
  <c r="H48" i="5"/>
  <c r="O47" i="5"/>
  <c r="K47" i="5"/>
  <c r="J47" i="5"/>
  <c r="H47" i="5"/>
  <c r="O46" i="5"/>
  <c r="K46" i="5"/>
  <c r="J46" i="5"/>
  <c r="H46" i="5"/>
  <c r="O45" i="5"/>
  <c r="K45" i="5"/>
  <c r="J45" i="5"/>
  <c r="H45" i="5"/>
  <c r="O44" i="5"/>
  <c r="K44" i="5"/>
  <c r="J44" i="5"/>
  <c r="H44" i="5"/>
  <c r="O43" i="5"/>
  <c r="K43" i="5"/>
  <c r="J43" i="5"/>
  <c r="H43" i="5"/>
  <c r="O42" i="5"/>
  <c r="K42" i="5"/>
  <c r="J42" i="5"/>
  <c r="H42" i="5"/>
  <c r="O41" i="5"/>
  <c r="K41" i="5"/>
  <c r="J41" i="5"/>
  <c r="H41" i="5"/>
  <c r="O40" i="5"/>
  <c r="K40" i="5"/>
  <c r="J40" i="5"/>
  <c r="H40" i="5"/>
  <c r="O39" i="5"/>
  <c r="K39" i="5"/>
  <c r="J39" i="5"/>
  <c r="H39" i="5"/>
  <c r="O38" i="5"/>
  <c r="K38" i="5"/>
  <c r="J38" i="5"/>
  <c r="H38" i="5"/>
  <c r="M37" i="5"/>
  <c r="L37" i="5"/>
  <c r="J37" i="5"/>
  <c r="K37" i="5" s="1"/>
  <c r="H37" i="5"/>
  <c r="O36" i="5"/>
  <c r="K36" i="5"/>
  <c r="J36" i="5"/>
  <c r="H36" i="5"/>
  <c r="O35" i="5"/>
  <c r="K35" i="5"/>
  <c r="J35" i="5"/>
  <c r="H35" i="5"/>
  <c r="O34" i="5"/>
  <c r="K34" i="5"/>
  <c r="J34" i="5"/>
  <c r="H34" i="5"/>
  <c r="O33" i="5"/>
  <c r="K33" i="5"/>
  <c r="J33" i="5"/>
  <c r="H33" i="5"/>
  <c r="O32" i="5"/>
  <c r="K32" i="5"/>
  <c r="J32" i="5"/>
  <c r="H32" i="5"/>
  <c r="O31" i="5"/>
  <c r="K31" i="5"/>
  <c r="J31" i="5"/>
  <c r="H31" i="5"/>
  <c r="O30" i="5"/>
  <c r="K30" i="5"/>
  <c r="J30" i="5"/>
  <c r="H30" i="5"/>
  <c r="O29" i="5"/>
  <c r="K29" i="5"/>
  <c r="J29" i="5"/>
  <c r="H29" i="5"/>
  <c r="O28" i="5"/>
  <c r="K28" i="5"/>
  <c r="J28" i="5"/>
  <c r="H28" i="5"/>
  <c r="O27" i="5"/>
  <c r="K27" i="5"/>
  <c r="J27" i="5"/>
  <c r="H27" i="5"/>
  <c r="M26" i="5"/>
  <c r="L26" i="5"/>
  <c r="J26" i="5"/>
  <c r="K26" i="5" s="1"/>
  <c r="H26" i="5"/>
  <c r="O25" i="5"/>
  <c r="K25" i="5"/>
  <c r="J25" i="5"/>
  <c r="H25" i="5"/>
  <c r="O24" i="5"/>
  <c r="K24" i="5"/>
  <c r="J24" i="5"/>
  <c r="H24" i="5"/>
  <c r="O23" i="5"/>
  <c r="K23" i="5"/>
  <c r="J23" i="5"/>
  <c r="H23" i="5"/>
  <c r="O22" i="5"/>
  <c r="K22" i="5"/>
  <c r="J22" i="5"/>
  <c r="H22" i="5"/>
  <c r="O21" i="5"/>
  <c r="K21" i="5"/>
  <c r="J21" i="5"/>
  <c r="H21" i="5"/>
  <c r="O20" i="5"/>
  <c r="K20" i="5"/>
  <c r="J20" i="5"/>
  <c r="H20" i="5"/>
  <c r="O19" i="5"/>
  <c r="K19" i="5"/>
  <c r="J19" i="5"/>
  <c r="H19" i="5"/>
  <c r="O18" i="5"/>
  <c r="K18" i="5"/>
  <c r="J18" i="5"/>
  <c r="H18" i="5"/>
  <c r="O17" i="5"/>
  <c r="K17" i="5"/>
  <c r="J17" i="5"/>
  <c r="H17" i="5"/>
  <c r="O16" i="5"/>
  <c r="K16" i="5"/>
  <c r="J16" i="5"/>
  <c r="H16" i="5"/>
  <c r="M15" i="5"/>
  <c r="L15" i="5"/>
  <c r="J15" i="5"/>
  <c r="K15" i="5" s="1"/>
  <c r="H15" i="5"/>
  <c r="O14" i="5"/>
  <c r="K14" i="5"/>
  <c r="J14" i="5"/>
  <c r="H14" i="5"/>
  <c r="O13" i="5"/>
  <c r="K13" i="5"/>
  <c r="J13" i="5"/>
  <c r="H13" i="5"/>
  <c r="O12" i="5"/>
  <c r="K12" i="5"/>
  <c r="J12" i="5"/>
  <c r="H12" i="5"/>
  <c r="O11" i="5"/>
  <c r="K11" i="5"/>
  <c r="J11" i="5"/>
  <c r="H11" i="5"/>
  <c r="O10" i="5"/>
  <c r="K10" i="5"/>
  <c r="J10" i="5"/>
  <c r="H10" i="5"/>
  <c r="O9" i="5"/>
  <c r="K9" i="5"/>
  <c r="J9" i="5"/>
  <c r="H9" i="5"/>
  <c r="O8" i="5"/>
  <c r="K8" i="5"/>
  <c r="J8" i="5"/>
  <c r="H8" i="5"/>
  <c r="O7" i="5"/>
  <c r="K7" i="5"/>
  <c r="J7" i="5"/>
  <c r="H7" i="5"/>
  <c r="O6" i="5"/>
  <c r="K6" i="5"/>
  <c r="J6" i="5"/>
  <c r="H6" i="5"/>
  <c r="O5" i="5"/>
  <c r="K5" i="5"/>
  <c r="J5" i="5"/>
  <c r="H5" i="5"/>
  <c r="N4" i="5"/>
  <c r="O4" i="5" s="1"/>
  <c r="M4" i="5"/>
  <c r="L4" i="5"/>
  <c r="J4" i="5"/>
  <c r="H4" i="5"/>
  <c r="D4" i="5" s="1"/>
  <c r="D3" i="5"/>
  <c r="D5" i="2" s="1"/>
  <c r="H5" i="10"/>
  <c r="I5" i="10" s="1"/>
  <c r="K105" i="6"/>
  <c r="K106" i="6"/>
  <c r="K107" i="6"/>
  <c r="M103" i="6" s="1"/>
  <c r="K108" i="6"/>
  <c r="K109" i="6"/>
  <c r="K110" i="6"/>
  <c r="K111" i="6"/>
  <c r="K112" i="6"/>
  <c r="K113" i="6"/>
  <c r="K104" i="6"/>
  <c r="O113" i="6"/>
  <c r="J113" i="6"/>
  <c r="H113" i="6"/>
  <c r="O112" i="6"/>
  <c r="J112" i="6"/>
  <c r="H112" i="6"/>
  <c r="O111" i="6"/>
  <c r="J111" i="6"/>
  <c r="H111" i="6"/>
  <c r="O110" i="6"/>
  <c r="J110" i="6"/>
  <c r="H110" i="6"/>
  <c r="O109" i="6"/>
  <c r="J109" i="6"/>
  <c r="H109" i="6"/>
  <c r="O108" i="6"/>
  <c r="J108" i="6"/>
  <c r="H108" i="6"/>
  <c r="O107" i="6"/>
  <c r="J107" i="6"/>
  <c r="H107" i="6"/>
  <c r="O106" i="6"/>
  <c r="J106" i="6"/>
  <c r="H106" i="6"/>
  <c r="O105" i="6"/>
  <c r="J105" i="6"/>
  <c r="H105" i="6"/>
  <c r="O104" i="6"/>
  <c r="J104" i="6"/>
  <c r="H104" i="6"/>
  <c r="L103" i="6"/>
  <c r="J103" i="6"/>
  <c r="K103" i="6" s="1"/>
  <c r="H103" i="6"/>
  <c r="K94" i="6"/>
  <c r="K95" i="6"/>
  <c r="K96" i="6"/>
  <c r="M92" i="6" s="1"/>
  <c r="K97" i="6"/>
  <c r="K98" i="6"/>
  <c r="K99" i="6"/>
  <c r="K100" i="6"/>
  <c r="K101" i="6"/>
  <c r="K102" i="6"/>
  <c r="K93" i="6"/>
  <c r="K91" i="6"/>
  <c r="K82" i="6"/>
  <c r="K80" i="6"/>
  <c r="K71" i="6"/>
  <c r="K27" i="6"/>
  <c r="K17" i="6"/>
  <c r="K5" i="6"/>
  <c r="K61" i="6"/>
  <c r="K62" i="6"/>
  <c r="K63" i="6"/>
  <c r="K64" i="6"/>
  <c r="K65" i="6"/>
  <c r="K66" i="6"/>
  <c r="K67" i="6"/>
  <c r="K68" i="6"/>
  <c r="K69" i="6"/>
  <c r="K60" i="6"/>
  <c r="K72" i="6"/>
  <c r="K73" i="6"/>
  <c r="K74" i="6"/>
  <c r="K75" i="6"/>
  <c r="M70" i="6" s="1"/>
  <c r="K76" i="6"/>
  <c r="K77" i="6"/>
  <c r="K78" i="6"/>
  <c r="K79" i="6"/>
  <c r="K84" i="6"/>
  <c r="K85" i="6"/>
  <c r="K86" i="6"/>
  <c r="K87" i="6"/>
  <c r="K88" i="6"/>
  <c r="K89" i="6"/>
  <c r="K90" i="6"/>
  <c r="K83" i="6"/>
  <c r="K50" i="6"/>
  <c r="K51" i="6"/>
  <c r="K52" i="6"/>
  <c r="K53" i="6"/>
  <c r="M48" i="6" s="1"/>
  <c r="K54" i="6"/>
  <c r="K55" i="6"/>
  <c r="K56" i="6"/>
  <c r="K57" i="6"/>
  <c r="K58" i="6"/>
  <c r="K49" i="6"/>
  <c r="K39" i="6"/>
  <c r="K40" i="6"/>
  <c r="K41" i="6"/>
  <c r="K42" i="6"/>
  <c r="K43" i="6"/>
  <c r="K44" i="6"/>
  <c r="K45" i="6"/>
  <c r="K46" i="6"/>
  <c r="K47" i="6"/>
  <c r="K38" i="6"/>
  <c r="K28" i="6"/>
  <c r="K29" i="6"/>
  <c r="K30" i="6"/>
  <c r="K31" i="6"/>
  <c r="K32" i="6"/>
  <c r="K33" i="6"/>
  <c r="K34" i="6"/>
  <c r="K35" i="6"/>
  <c r="K36" i="6"/>
  <c r="K18" i="6"/>
  <c r="K19" i="6"/>
  <c r="K20" i="6"/>
  <c r="K21" i="6"/>
  <c r="K22" i="6"/>
  <c r="K23" i="6"/>
  <c r="K24" i="6"/>
  <c r="K25" i="6"/>
  <c r="K16" i="6"/>
  <c r="M15" i="6" s="1"/>
  <c r="N15" i="6" s="1"/>
  <c r="K11" i="6"/>
  <c r="O102" i="6"/>
  <c r="J102" i="6"/>
  <c r="H102" i="6"/>
  <c r="O101" i="6"/>
  <c r="J101" i="6"/>
  <c r="H101" i="6"/>
  <c r="O100" i="6"/>
  <c r="J100" i="6"/>
  <c r="H100" i="6"/>
  <c r="O99" i="6"/>
  <c r="J99" i="6"/>
  <c r="H99" i="6"/>
  <c r="O98" i="6"/>
  <c r="J98" i="6"/>
  <c r="H98" i="6"/>
  <c r="O97" i="6"/>
  <c r="J97" i="6"/>
  <c r="H97" i="6"/>
  <c r="O96" i="6"/>
  <c r="J96" i="6"/>
  <c r="H96" i="6"/>
  <c r="O95" i="6"/>
  <c r="J95" i="6"/>
  <c r="H95" i="6"/>
  <c r="O94" i="6"/>
  <c r="J94" i="6"/>
  <c r="H94" i="6"/>
  <c r="O93" i="6"/>
  <c r="J93" i="6"/>
  <c r="H93" i="6"/>
  <c r="L92" i="6"/>
  <c r="J92" i="6"/>
  <c r="K92" i="6" s="1"/>
  <c r="H92" i="6"/>
  <c r="O91" i="6"/>
  <c r="J91" i="6"/>
  <c r="H91" i="6"/>
  <c r="O90" i="6"/>
  <c r="J90" i="6"/>
  <c r="H90" i="6"/>
  <c r="O89" i="6"/>
  <c r="J89" i="6"/>
  <c r="H89" i="6"/>
  <c r="O88" i="6"/>
  <c r="J88" i="6"/>
  <c r="H88" i="6"/>
  <c r="O87" i="6"/>
  <c r="J87" i="6"/>
  <c r="H87" i="6"/>
  <c r="O86" i="6"/>
  <c r="J86" i="6"/>
  <c r="H86" i="6"/>
  <c r="O85" i="6"/>
  <c r="J85" i="6"/>
  <c r="H85" i="6"/>
  <c r="O84" i="6"/>
  <c r="J84" i="6"/>
  <c r="H84" i="6"/>
  <c r="O83" i="6"/>
  <c r="J83" i="6"/>
  <c r="H83" i="6"/>
  <c r="O82" i="6"/>
  <c r="J82" i="6"/>
  <c r="H82" i="6"/>
  <c r="M81" i="6"/>
  <c r="L81" i="6"/>
  <c r="J81" i="6"/>
  <c r="K81" i="6" s="1"/>
  <c r="H81" i="6"/>
  <c r="O80" i="6"/>
  <c r="J80" i="6"/>
  <c r="H80" i="6"/>
  <c r="O79" i="6"/>
  <c r="J79" i="6"/>
  <c r="H79" i="6"/>
  <c r="O78" i="6"/>
  <c r="J78" i="6"/>
  <c r="H78" i="6"/>
  <c r="O77" i="6"/>
  <c r="J77" i="6"/>
  <c r="H77" i="6"/>
  <c r="O76" i="6"/>
  <c r="J76" i="6"/>
  <c r="H76" i="6"/>
  <c r="O75" i="6"/>
  <c r="J75" i="6"/>
  <c r="H75" i="6"/>
  <c r="O74" i="6"/>
  <c r="J74" i="6"/>
  <c r="H74" i="6"/>
  <c r="O73" i="6"/>
  <c r="J73" i="6"/>
  <c r="H73" i="6"/>
  <c r="O72" i="6"/>
  <c r="J72" i="6"/>
  <c r="H72" i="6"/>
  <c r="O71" i="6"/>
  <c r="J71" i="6"/>
  <c r="H71" i="6"/>
  <c r="L70" i="6"/>
  <c r="J70" i="6"/>
  <c r="K70" i="6" s="1"/>
  <c r="H70" i="6"/>
  <c r="O69" i="6"/>
  <c r="J69" i="6"/>
  <c r="H69" i="6"/>
  <c r="O68" i="6"/>
  <c r="J68" i="6"/>
  <c r="H68" i="6"/>
  <c r="O67" i="6"/>
  <c r="J67" i="6"/>
  <c r="H67" i="6"/>
  <c r="O66" i="6"/>
  <c r="J66" i="6"/>
  <c r="H66" i="6"/>
  <c r="O65" i="6"/>
  <c r="J65" i="6"/>
  <c r="H65" i="6"/>
  <c r="O64" i="6"/>
  <c r="J64" i="6"/>
  <c r="H64" i="6"/>
  <c r="O63" i="6"/>
  <c r="J63" i="6"/>
  <c r="H63" i="6"/>
  <c r="O62" i="6"/>
  <c r="J62" i="6"/>
  <c r="H62" i="6"/>
  <c r="O61" i="6"/>
  <c r="J61" i="6"/>
  <c r="H61" i="6"/>
  <c r="O60" i="6"/>
  <c r="J60" i="6"/>
  <c r="H60" i="6"/>
  <c r="M59" i="6"/>
  <c r="L59" i="6"/>
  <c r="J59" i="6"/>
  <c r="K59" i="6" s="1"/>
  <c r="H59" i="6"/>
  <c r="O58" i="6"/>
  <c r="J58" i="6"/>
  <c r="H58" i="6"/>
  <c r="O57" i="6"/>
  <c r="J57" i="6"/>
  <c r="H57" i="6"/>
  <c r="O56" i="6"/>
  <c r="J56" i="6"/>
  <c r="H56" i="6"/>
  <c r="O55" i="6"/>
  <c r="J55" i="6"/>
  <c r="H55" i="6"/>
  <c r="O54" i="6"/>
  <c r="J54" i="6"/>
  <c r="H54" i="6"/>
  <c r="O53" i="6"/>
  <c r="J53" i="6"/>
  <c r="H53" i="6"/>
  <c r="O52" i="6"/>
  <c r="J52" i="6"/>
  <c r="H52" i="6"/>
  <c r="O51" i="6"/>
  <c r="J51" i="6"/>
  <c r="H51" i="6"/>
  <c r="O50" i="6"/>
  <c r="J50" i="6"/>
  <c r="H50" i="6"/>
  <c r="O49" i="6"/>
  <c r="J49" i="6"/>
  <c r="H49" i="6"/>
  <c r="L48" i="6"/>
  <c r="J48" i="6"/>
  <c r="K48" i="6" s="1"/>
  <c r="H48" i="6"/>
  <c r="O47" i="6"/>
  <c r="J47" i="6"/>
  <c r="H47" i="6"/>
  <c r="O46" i="6"/>
  <c r="J46" i="6"/>
  <c r="H46" i="6"/>
  <c r="O45" i="6"/>
  <c r="J45" i="6"/>
  <c r="H45" i="6"/>
  <c r="O44" i="6"/>
  <c r="J44" i="6"/>
  <c r="H44" i="6"/>
  <c r="O43" i="6"/>
  <c r="J43" i="6"/>
  <c r="H43" i="6"/>
  <c r="O42" i="6"/>
  <c r="J42" i="6"/>
  <c r="H42" i="6"/>
  <c r="O41" i="6"/>
  <c r="J41" i="6"/>
  <c r="H41" i="6"/>
  <c r="O40" i="6"/>
  <c r="J40" i="6"/>
  <c r="H40" i="6"/>
  <c r="O39" i="6"/>
  <c r="J39" i="6"/>
  <c r="H39" i="6"/>
  <c r="O38" i="6"/>
  <c r="J38" i="6"/>
  <c r="H38" i="6"/>
  <c r="M37" i="6"/>
  <c r="L37" i="6"/>
  <c r="J37" i="6"/>
  <c r="K37" i="6" s="1"/>
  <c r="H37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7" i="6"/>
  <c r="H28" i="6"/>
  <c r="H29" i="6"/>
  <c r="H30" i="6"/>
  <c r="H31" i="6"/>
  <c r="H32" i="6"/>
  <c r="H33" i="6"/>
  <c r="H34" i="6"/>
  <c r="H35" i="6"/>
  <c r="H36" i="6"/>
  <c r="J4" i="6"/>
  <c r="K4" i="6" s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7" i="6"/>
  <c r="J28" i="6"/>
  <c r="J29" i="6"/>
  <c r="J30" i="6"/>
  <c r="J31" i="6"/>
  <c r="J32" i="6"/>
  <c r="J33" i="6"/>
  <c r="J34" i="6"/>
  <c r="J35" i="6"/>
  <c r="J36" i="6"/>
  <c r="K15" i="6"/>
  <c r="K6" i="6"/>
  <c r="K7" i="6"/>
  <c r="K8" i="6"/>
  <c r="K9" i="6"/>
  <c r="K10" i="6"/>
  <c r="K12" i="6"/>
  <c r="K13" i="6"/>
  <c r="K14" i="6"/>
  <c r="O36" i="6"/>
  <c r="O35" i="6"/>
  <c r="O34" i="6"/>
  <c r="O33" i="6"/>
  <c r="O32" i="6"/>
  <c r="O31" i="6"/>
  <c r="O30" i="6"/>
  <c r="O29" i="6"/>
  <c r="O28" i="6"/>
  <c r="O27" i="6"/>
  <c r="M26" i="6"/>
  <c r="L26" i="6"/>
  <c r="O16" i="6"/>
  <c r="O17" i="6"/>
  <c r="O18" i="6"/>
  <c r="O19" i="6"/>
  <c r="O20" i="6"/>
  <c r="O21" i="6"/>
  <c r="O22" i="6"/>
  <c r="O23" i="6"/>
  <c r="O24" i="6"/>
  <c r="O5" i="6"/>
  <c r="O6" i="6"/>
  <c r="O7" i="6"/>
  <c r="O8" i="6"/>
  <c r="O9" i="6"/>
  <c r="O10" i="6"/>
  <c r="O11" i="6"/>
  <c r="O12" i="6"/>
  <c r="O13" i="6"/>
  <c r="O14" i="6"/>
  <c r="O25" i="6"/>
  <c r="L15" i="6"/>
  <c r="H6" i="10"/>
  <c r="K2" i="10" s="1"/>
  <c r="I8" i="10" s="1"/>
  <c r="H7" i="10"/>
  <c r="L4" i="6"/>
  <c r="C6" i="2"/>
  <c r="F114" i="6"/>
  <c r="J114" i="8" l="1"/>
  <c r="K114" i="8" s="1"/>
  <c r="D3" i="8"/>
  <c r="J114" i="5"/>
  <c r="K114" i="5" s="1"/>
  <c r="N15" i="9"/>
  <c r="O15" i="9" s="1"/>
  <c r="N26" i="9"/>
  <c r="O26" i="9" s="1"/>
  <c r="N37" i="9"/>
  <c r="O37" i="9" s="1"/>
  <c r="N48" i="9"/>
  <c r="O48" i="9" s="1"/>
  <c r="N59" i="9"/>
  <c r="O59" i="9" s="1"/>
  <c r="N70" i="9"/>
  <c r="O70" i="9" s="1"/>
  <c r="N81" i="9"/>
  <c r="O81" i="9" s="1"/>
  <c r="N92" i="9"/>
  <c r="O92" i="9" s="1"/>
  <c r="N103" i="9"/>
  <c r="O103" i="9" s="1"/>
  <c r="N15" i="8"/>
  <c r="O15" i="8" s="1"/>
  <c r="N26" i="8"/>
  <c r="O26" i="8" s="1"/>
  <c r="N37" i="8"/>
  <c r="O37" i="8" s="1"/>
  <c r="N48" i="8"/>
  <c r="O48" i="8" s="1"/>
  <c r="N59" i="8"/>
  <c r="O59" i="8" s="1"/>
  <c r="N70" i="8"/>
  <c r="O70" i="8" s="1"/>
  <c r="N81" i="8"/>
  <c r="O81" i="8" s="1"/>
  <c r="N92" i="8"/>
  <c r="O92" i="8" s="1"/>
  <c r="N103" i="8"/>
  <c r="O103" i="8" s="1"/>
  <c r="N15" i="7"/>
  <c r="O15" i="7" s="1"/>
  <c r="N26" i="7"/>
  <c r="O26" i="7" s="1"/>
  <c r="N37" i="7"/>
  <c r="O37" i="7" s="1"/>
  <c r="N48" i="7"/>
  <c r="O48" i="7" s="1"/>
  <c r="N59" i="7"/>
  <c r="O59" i="7" s="1"/>
  <c r="N70" i="7"/>
  <c r="O70" i="7" s="1"/>
  <c r="N81" i="7"/>
  <c r="O81" i="7" s="1"/>
  <c r="N92" i="7"/>
  <c r="O92" i="7" s="1"/>
  <c r="N103" i="7"/>
  <c r="O103" i="7" s="1"/>
  <c r="N15" i="5"/>
  <c r="O15" i="5" s="1"/>
  <c r="N26" i="5"/>
  <c r="O26" i="5" s="1"/>
  <c r="N37" i="5"/>
  <c r="O37" i="5" s="1"/>
  <c r="N48" i="5"/>
  <c r="O48" i="5" s="1"/>
  <c r="N59" i="5"/>
  <c r="O59" i="5" s="1"/>
  <c r="N70" i="5"/>
  <c r="O70" i="5" s="1"/>
  <c r="N81" i="5"/>
  <c r="O81" i="5" s="1"/>
  <c r="N92" i="5"/>
  <c r="O92" i="5" s="1"/>
  <c r="N103" i="5"/>
  <c r="O103" i="5" s="1"/>
  <c r="L2" i="10"/>
  <c r="I7" i="10"/>
  <c r="I6" i="10"/>
  <c r="K4" i="9"/>
  <c r="K4" i="8"/>
  <c r="K4" i="7"/>
  <c r="K4" i="5"/>
  <c r="N103" i="6"/>
  <c r="O103" i="6" s="1"/>
  <c r="N92" i="6"/>
  <c r="O92" i="6" s="1"/>
  <c r="N81" i="6"/>
  <c r="O81" i="6" s="1"/>
  <c r="N70" i="6"/>
  <c r="O70" i="6" s="1"/>
  <c r="N59" i="6"/>
  <c r="O59" i="6" s="1"/>
  <c r="N48" i="6"/>
  <c r="O48" i="6" s="1"/>
  <c r="N37" i="6"/>
  <c r="O37" i="6" s="1"/>
  <c r="N26" i="6"/>
  <c r="O26" i="6" s="1"/>
  <c r="N4" i="6"/>
  <c r="M4" i="6"/>
  <c r="D9" i="2"/>
  <c r="D8" i="2"/>
  <c r="D7" i="2"/>
  <c r="O15" i="6"/>
  <c r="H26" i="6"/>
  <c r="J26" i="6"/>
  <c r="K26" i="6" s="1"/>
  <c r="J114" i="6" l="1"/>
  <c r="K114" i="6" s="1"/>
  <c r="O4" i="6"/>
  <c r="D3" i="6"/>
  <c r="D6" i="2" s="1"/>
  <c r="D4" i="6"/>
</calcChain>
</file>

<file path=xl/sharedStrings.xml><?xml version="1.0" encoding="utf-8"?>
<sst xmlns="http://schemas.openxmlformats.org/spreadsheetml/2006/main" count="1220" uniqueCount="44">
  <si>
    <t>CDR's Weight</t>
  </si>
  <si>
    <t>T</t>
  </si>
  <si>
    <t>P</t>
  </si>
  <si>
    <t>U</t>
  </si>
  <si>
    <t>Total</t>
  </si>
  <si>
    <t>Total Assessment</t>
  </si>
  <si>
    <t>Reference</t>
  </si>
  <si>
    <t>Sub Task Totals</t>
  </si>
  <si>
    <t>New SB Weight</t>
  </si>
  <si>
    <t>New SB Total</t>
  </si>
  <si>
    <t>calc</t>
  </si>
  <si>
    <t>New Proficiency Rating
(based on Sub Tasks)</t>
  </si>
  <si>
    <t>Rating</t>
  </si>
  <si>
    <t>Company METL</t>
  </si>
  <si>
    <t>Mission Essential Task</t>
  </si>
  <si>
    <t>Current Rating</t>
  </si>
  <si>
    <t xml:space="preserve">Manage Stress </t>
  </si>
  <si>
    <t>Sub Task OML</t>
  </si>
  <si>
    <t>t</t>
  </si>
  <si>
    <t>Column1</t>
  </si>
  <si>
    <t>Column2</t>
  </si>
  <si>
    <t>a</t>
  </si>
  <si>
    <t>b</t>
  </si>
  <si>
    <t>c</t>
  </si>
  <si>
    <t>→</t>
  </si>
  <si>
    <t>Commander's Assessment</t>
  </si>
  <si>
    <t>Minimum Criteria (In Percent)</t>
  </si>
  <si>
    <t>Name</t>
  </si>
  <si>
    <t>% Accieved</t>
  </si>
  <si>
    <t>Overall Rating</t>
  </si>
  <si>
    <t>Actual</t>
  </si>
  <si>
    <t>Desired</t>
  </si>
  <si>
    <t>Metric Rating</t>
  </si>
  <si>
    <t>→ This is a test</t>
  </si>
  <si>
    <t>Placeholder Task</t>
  </si>
  <si>
    <t>METL Task 2</t>
  </si>
  <si>
    <t>METL Task 3</t>
  </si>
  <si>
    <t>METL Task 4</t>
  </si>
  <si>
    <t>METL Task 5</t>
  </si>
  <si>
    <t>Adjust your rating scheme here</t>
  </si>
  <si>
    <t>Input data in the left three columns only. The output is in the right two coulmns</t>
  </si>
  <si>
    <t>This is a test</t>
  </si>
  <si>
    <t>d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</si>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</sst>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4F81BD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F81BD"/>
        <bgColor rgb="FF000000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4" borderId="0" xfId="0" applyFill="1" applyBorder="1"/>
    <xf numFmtId="0" fontId="0" fillId="4" borderId="0" xfId="0" applyFill="1"/>
    <xf numFmtId="0" fontId="5" fillId="0" borderId="0" xfId="0" applyFont="1" applyAlignment="1"/>
    <xf numFmtId="0" fontId="0" fillId="0" borderId="0" xfId="0" applyNumberFormat="1" applyBorder="1" applyAlignment="1">
      <alignment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2" fontId="0" fillId="0" borderId="0" xfId="0" applyNumberFormat="1"/>
    <xf numFmtId="9" fontId="0" fillId="4" borderId="0" xfId="1" applyFont="1" applyFill="1"/>
    <xf numFmtId="9" fontId="0" fillId="0" borderId="0" xfId="1" applyFont="1"/>
    <xf numFmtId="0" fontId="0" fillId="0" borderId="0" xfId="0" applyNumberFormat="1"/>
    <xf numFmtId="2" fontId="0" fillId="5" borderId="2" xfId="0" applyNumberForma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0" fillId="5" borderId="0" xfId="0" applyNumberFormat="1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vertical="center" wrapText="1"/>
    </xf>
    <xf numFmtId="1" fontId="0" fillId="0" borderId="0" xfId="0" applyNumberForma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1" fontId="0" fillId="0" borderId="0" xfId="0" applyNumberFormat="1" applyFill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9" fontId="0" fillId="0" borderId="0" xfId="1" applyFont="1" applyBorder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8" fillId="4" borderId="0" xfId="0" applyFont="1" applyFill="1"/>
    <xf numFmtId="0" fontId="8" fillId="5" borderId="0" xfId="0" applyFont="1" applyFill="1" applyAlignment="1">
      <alignment horizontal="center"/>
    </xf>
    <xf numFmtId="9" fontId="0" fillId="0" borderId="0" xfId="1" applyNumberFormat="1" applyFont="1"/>
    <xf numFmtId="0" fontId="10" fillId="6" borderId="0" xfId="0" applyFont="1" applyFill="1" applyAlignment="1">
      <alignment vertical="center" wrapText="1"/>
    </xf>
    <xf numFmtId="2" fontId="0" fillId="4" borderId="0" xfId="0" applyNumberForma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9" fontId="8" fillId="7" borderId="0" xfId="1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wrapText="1"/>
    </xf>
  </cellXfs>
  <cellStyles count="2">
    <cellStyle name="Normal" xfId="0" builtinId="0"/>
    <cellStyle name="Percent" xfId="1" builtinId="5"/>
  </cellStyles>
  <dxfs count="390">
    <dxf>
      <numFmt numFmtId="0" formatCode="General"/>
    </dxf>
    <dxf>
      <numFmt numFmtId="13" formatCode="0%"/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F81BD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1" indent="0" justifyLastLine="0" shrinkToFit="0" readingOrder="0"/>
    </dxf>
    <dxf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2" formatCode="0.00"/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2" formatCode="0.0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2" formatCode="0.0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13" formatCode="0%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4F81BD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F81BD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numFmt numFmtId="2" formatCode="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2" formatCode="0.00"/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2" formatCode="0.0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2" formatCode="0.0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13" formatCode="0%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4F81BD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F81BD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1" indent="0" justifyLastLine="0" shrinkToFit="0" readingOrder="0"/>
    </dxf>
    <dxf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2" formatCode="0.00"/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2" formatCode="0.0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2" formatCode="0.0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13" formatCode="0%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4F81BD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F81BD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1" indent="0" justifyLastLine="0" shrinkToFit="0" readingOrder="0"/>
    </dxf>
    <dxf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2" formatCode="0.00"/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2" formatCode="0.0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2" formatCode="0.0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13" formatCode="0%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4F81BD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F81BD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1" indent="0" justifyLastLine="0" shrinkToFit="0" readingOrder="0"/>
    </dxf>
    <dxf>
      <numFmt numFmtId="2" formatCode="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2" formatCode="0.00"/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2" formatCode="0.0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2" formatCode="0.0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13" formatCode="0%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4F81BD"/>
        <name val="Calibri"/>
        <scheme val="none"/>
      </font>
      <fill>
        <patternFill patternType="solid">
          <fgColor rgb="FF000000"/>
          <bgColor rgb="FF4F81BD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2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1" name="Table11" displayName="Table11" ref="C4:D9" totalsRowShown="0">
  <autoFilter ref="C4:D9"/>
  <tableColumns count="2">
    <tableColumn id="1" name="Mission Essential Task" dataDxfId="386">
      <calculatedColumnFormula>#REF!</calculatedColumnFormula>
    </tableColumn>
    <tableColumn id="2" name="Current Rating" dataDxfId="385">
      <calculatedColumnFormula>#REF!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20" name="METLTask5" displayName="METLTask5" ref="E3:P114" totalsRowCount="1" headerRowDxfId="26" dataDxfId="25" totalsRowDxfId="24">
  <autoFilter ref="E3:P113"/>
  <tableColumns count="12">
    <tableColumn id="1" name="METL Task 5" totalsRowLabel="Total Assessment" totalsRowDxfId="23"/>
    <tableColumn id="2" name="CDR's Weight" totalsRowFunction="sum" totalsRowDxfId="22"/>
    <tableColumn id="3" name="Commander's Assessment" totalsRowDxfId="21"/>
    <tableColumn id="5" name="Column1" dataDxfId="20" totalsRowDxfId="19" dataCellStyle="Percent">
      <calculatedColumnFormula>IF(ISBLANK(METLTask5[[#This Row],[CDR''s Weight]]),"",VLOOKUP(METLTask5[[#This Row],[Commander''s Assessment]],Table222[],2,FALSE)*(1-(METLTask5[CDR''s Weight]-1)*(100/MAX(METLTask5[CDR''s Weight])/100)))</calculatedColumnFormula>
    </tableColumn>
    <tableColumn id="13" name="Sub Task OML" totalsRowDxfId="18"/>
    <tableColumn id="8" name="Total" totalsRowFunction="sum" dataDxfId="17" totalsRowDxfId="16">
      <calculatedColumnFormula>IF(ISNUMBER(SEARCH("→",METLTask5[[#This Row],[METL Task 5]])),"",IF(G4=$A$5,$B$5*METLTask5[[#This Row],[CDR''s Weight]],IF(G4=$A$6,$B$6*METLTask5[[#This Row],[CDR''s Weight]],IF(G4=$A$7,$B$7*METLTask5[[#This Row],[CDR''s Weight]]))))</calculatedColumnFormula>
    </tableColumn>
    <tableColumn id="11" name="Sub Task Totals" totalsRowFunction="custom" dataDxfId="15" totalsRowDxfId="14">
      <calculatedColumnFormula>VLOOKUP(METLTask5[[#This Row],[Commander''s Assessment]],Table2[],2,FALSE)*(1-(($I$5:$I$14-1)*(100/MAX($I$5:$I$14)/100)))</calculatedColumnFormula>
      <totalsRowFormula>METLTask5[[#Totals],[Total]]/METLTask5[[#Totals],[CDR''s Weight]]</totalsRowFormula>
    </tableColumn>
    <tableColumn id="14" name="New SB Weight" totalsRowDxfId="13"/>
    <tableColumn id="15" name="New SB Total" totalsRowDxfId="12"/>
    <tableColumn id="17" name="calc" dataDxfId="11" totalsRowDxfId="10"/>
    <tableColumn id="16" name="New Proficiency Rating_x000a_(based on Sub Tasks)" dataDxfId="9" totalsRowDxfId="8">
      <calculatedColumnFormula>IF(ISBLANK(METLTask5[[#This Row],[calc]]),"",IF(METLTask5[[#This Row],[calc]]&gt;=0.66,$A$5,IF(AND(METLTask5[[#This Row],[calc]]&lt;0.66,METLTask5[[#This Row],[calc]]&gt;=0.33),$A$6,IF(METLTask5[[#This Row],[calc]]&lt;0.33,"U"))))</calculatedColumnFormula>
    </tableColumn>
    <tableColumn id="4" name="Remarks" dataDxfId="7" totalsRowDxfId="6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21" name="Table222" displayName="Table222" ref="A4:B7" totalsRowShown="0">
  <autoFilter ref="A4:B7"/>
  <tableColumns count="2">
    <tableColumn id="1" name="Column1"/>
    <tableColumn id="2" name="Column2" dataDxfId="5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9" name="Table9" displayName="Table9" ref="B4:C7" totalsRowShown="0">
  <autoFilter ref="B4:C7"/>
  <tableColumns count="2">
    <tableColumn id="1" name="Rating"/>
    <tableColumn id="2" name="Minimum Criteria (In Percent)" dataCellStyle="Percent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0" name="Table10" displayName="Table10" ref="E4:I8" totalsRowShown="0">
  <autoFilter ref="E4:I8"/>
  <tableColumns count="5">
    <tableColumn id="1" name="Name"/>
    <tableColumn id="5" name="Desired"/>
    <tableColumn id="4" name="Actual"/>
    <tableColumn id="2" name="% Accieved" dataDxfId="1" dataCellStyle="Percent">
      <calculatedColumnFormula>Table10[[#This Row],[Actual]]/Table10[[#This Row],[Desired]]</calculatedColumnFormula>
    </tableColumn>
    <tableColumn id="6" name="Metric Rating" dataDxfId="0">
      <calculatedColumnFormula>IF(Table10[[#This Row],[% Accieved]]&gt;=$C$5,$B$5,IF(AND(Table10[[#This Row],[% Accieved]]&gt;=$C$6,$K$2&lt;$C$5),$B$6,$B$7))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4" name="METLTask1" displayName="METLTask1" ref="E3:P114" totalsRowCount="1" headerRowDxfId="330" dataDxfId="329" totalsRowDxfId="328">
  <autoFilter ref="E3:P113"/>
  <tableColumns count="12">
    <tableColumn id="1" name="This is a test" totalsRowLabel="Total Assessment" totalsRowDxfId="327"/>
    <tableColumn id="2" name="CDR's Weight" totalsRowFunction="sum" totalsRowDxfId="326"/>
    <tableColumn id="3" name="Commander's Assessment" totalsRowDxfId="325"/>
    <tableColumn id="5" name="Column1" dataDxfId="324" totalsRowDxfId="323" dataCellStyle="Percent">
      <calculatedColumnFormula>IF(ISBLANK(METLTask1[[#This Row],[CDR''s Weight]]),"",VLOOKUP(METLTask1[[#This Row],[Commander''s Assessment]],Table216[],2,FALSE)*(1-(METLTask1[CDR''s Weight]-1)*(100/MAX(METLTask1[CDR''s Weight])/100)))</calculatedColumnFormula>
    </tableColumn>
    <tableColumn id="13" name="Sub Task OML" totalsRowDxfId="322"/>
    <tableColumn id="8" name="Total" totalsRowFunction="sum" dataDxfId="321" totalsRowDxfId="320">
      <calculatedColumnFormula>IF(ISNUMBER(SEARCH("→",METLTask1[[#This Row],[This is a test]])),"",IF(G4=$A$5,$B$5*METLTask1[[#This Row],[CDR''s Weight]],IF(G4=$A$6,$B$6*METLTask1[[#This Row],[CDR''s Weight]],IF(G4=$A$7,$B$7*METLTask1[[#This Row],[CDR''s Weight]]))))</calculatedColumnFormula>
    </tableColumn>
    <tableColumn id="11" name="Sub Task Totals" totalsRowFunction="custom" dataDxfId="319" totalsRowDxfId="318">
      <calculatedColumnFormula>VLOOKUP(METLTask1[[#This Row],[Commander''s Assessment]],Table2[],2,FALSE)*(1-(($I$5:$I$14-1)*(100/MAX($I$5:$I$14)/100)))</calculatedColumnFormula>
      <totalsRowFormula>METLTask1[[#Totals],[Total]]/METLTask1[[#Totals],[CDR''s Weight]]</totalsRowFormula>
    </tableColumn>
    <tableColumn id="14" name="New SB Weight" totalsRowDxfId="317"/>
    <tableColumn id="15" name="New SB Total" totalsRowDxfId="316"/>
    <tableColumn id="17" name="calc" dataDxfId="315" totalsRowDxfId="314"/>
    <tableColumn id="16" name="New Proficiency Rating_x000a_(based on Sub Tasks)" dataDxfId="313" totalsRowDxfId="312">
      <calculatedColumnFormula>IF(ISBLANK(METLTask1[[#This Row],[calc]]),"",IF(METLTask1[[#This Row],[calc]]&gt;=0.66,$A$5,IF(AND(METLTask1[[#This Row],[calc]]&lt;0.66,METLTask1[[#This Row],[calc]]&gt;=0.33),$A$6,IF(METLTask1[[#This Row],[calc]]&lt;0.33,"U"))))</calculatedColumnFormula>
    </tableColumn>
    <tableColumn id="4" name="Remarks" dataDxfId="311" totalsRowDxfId="31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5" name="Table216" displayName="Table216" ref="A4:B7" totalsRowShown="0">
  <autoFilter ref="A4:B7"/>
  <tableColumns count="2">
    <tableColumn id="1" name="Column1"/>
    <tableColumn id="2" name="Column2" dataDxfId="309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METLTask2" displayName="METLTask2" ref="E3:P114" totalsRowCount="1" headerRowDxfId="254" dataDxfId="253" totalsRowDxfId="252">
  <autoFilter ref="E3:P113"/>
  <tableColumns count="12">
    <tableColumn id="1" name="METL Task 2" totalsRowLabel="Total Assessment" totalsRowDxfId="251"/>
    <tableColumn id="2" name="CDR's Weight" totalsRowFunction="sum" totalsRowDxfId="250"/>
    <tableColumn id="3" name="Commander's Assessment" totalsRowDxfId="249"/>
    <tableColumn id="5" name="Column1" dataDxfId="248" totalsRowDxfId="247" dataCellStyle="Percent">
      <calculatedColumnFormula>IF(ISBLANK(METLTask2[[#This Row],[CDR''s Weight]]),"",VLOOKUP(METLTask2[[#This Row],[Commander''s Assessment]],Table2[],2,FALSE)*(1-(METLTask2[CDR''s Weight]-1)*(100/MAX(METLTask2[CDR''s Weight])/100)))</calculatedColumnFormula>
    </tableColumn>
    <tableColumn id="13" name="Sub Task OML" totalsRowDxfId="246"/>
    <tableColumn id="8" name="Total" totalsRowFunction="sum" dataDxfId="245" totalsRowDxfId="244">
      <calculatedColumnFormula>IF(ISNUMBER(SEARCH("→",METLTask2[[#This Row],[METL Task 2]])),"",IF(G4=$A$5,$B$5*METLTask2[[#This Row],[CDR''s Weight]],IF(G4=$A$6,$B$6*METLTask2[[#This Row],[CDR''s Weight]],IF(G4=$A$7,$B$7*METLTask2[[#This Row],[CDR''s Weight]]))))</calculatedColumnFormula>
    </tableColumn>
    <tableColumn id="11" name="Sub Task Totals" totalsRowFunction="custom" dataDxfId="243" totalsRowDxfId="242">
      <calculatedColumnFormula>VLOOKUP(METLTask2[[#This Row],[Commander''s Assessment]],Table2[],2,FALSE)*(1-(($I$5:$I$14-1)*(100/MAX($I$5:$I$14)/100)))</calculatedColumnFormula>
      <totalsRowFormula>METLTask2[[#Totals],[Total]]/METLTask2[[#Totals],[CDR''s Weight]]</totalsRowFormula>
    </tableColumn>
    <tableColumn id="14" name="New SB Weight" totalsRowDxfId="241"/>
    <tableColumn id="15" name="New SB Total" totalsRowDxfId="240"/>
    <tableColumn id="17" name="calc" dataDxfId="239" totalsRowDxfId="238"/>
    <tableColumn id="16" name="New Proficiency Rating_x000a_(based on Sub Tasks)" dataDxfId="237" totalsRowDxfId="236">
      <calculatedColumnFormula>IF(ISBLANK(METLTask2[[#This Row],[calc]]),"",IF(METLTask2[[#This Row],[calc]]&gt;=0.66,$A$5,IF(AND(METLTask2[[#This Row],[calc]]&lt;0.66,METLTask2[[#This Row],[calc]]&gt;=0.33),$A$6,IF(METLTask2[[#This Row],[calc]]&lt;0.33,"U"))))</calculatedColumnFormula>
    </tableColumn>
    <tableColumn id="4" name="Remarks" dataDxfId="235" totalsRowDxfId="23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2" name="Table2" displayName="Table2" ref="A4:B7" totalsRowShown="0">
  <autoFilter ref="A4:B7"/>
  <tableColumns count="2">
    <tableColumn id="1" name="Column1"/>
    <tableColumn id="2" name="Column2" dataDxfId="233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6" name="METLTask3" displayName="METLTask3" ref="E3:P114" totalsRowCount="1" headerRowDxfId="178" dataDxfId="177" totalsRowDxfId="176">
  <autoFilter ref="E3:P113"/>
  <tableColumns count="12">
    <tableColumn id="1" name="METL Task 3" totalsRowLabel="Total Assessment" totalsRowDxfId="175"/>
    <tableColumn id="2" name="CDR's Weight" totalsRowFunction="sum" totalsRowDxfId="174"/>
    <tableColumn id="3" name="Commander's Assessment" totalsRowDxfId="173"/>
    <tableColumn id="5" name="Column1" dataDxfId="172" totalsRowDxfId="171" dataCellStyle="Percent">
      <calculatedColumnFormula>IF(ISBLANK(METLTask3[[#This Row],[CDR''s Weight]]),"",VLOOKUP(METLTask3[[#This Row],[Commander''s Assessment]],Table218[],2,FALSE)*(1-(METLTask3[CDR''s Weight]-1)*(100/MAX(METLTask3[CDR''s Weight])/100)))</calculatedColumnFormula>
    </tableColumn>
    <tableColumn id="13" name="Sub Task OML" totalsRowDxfId="170"/>
    <tableColumn id="8" name="Total" totalsRowFunction="sum" dataDxfId="169" totalsRowDxfId="168">
      <calculatedColumnFormula>IF(ISNUMBER(SEARCH("→",METLTask3[[#This Row],[METL Task 3]])),"",IF(G4=$A$5,$B$5*METLTask3[[#This Row],[CDR''s Weight]],IF(G4=$A$6,$B$6*METLTask3[[#This Row],[CDR''s Weight]],IF(G4=$A$7,$B$7*METLTask3[[#This Row],[CDR''s Weight]]))))</calculatedColumnFormula>
    </tableColumn>
    <tableColumn id="11" name="Sub Task Totals" totalsRowFunction="custom" dataDxfId="167" totalsRowDxfId="166">
      <calculatedColumnFormula>VLOOKUP(METLTask3[[#This Row],[Commander''s Assessment]],Table2[],2,FALSE)*(1-(($I$5:$I$14-1)*(100/MAX($I$5:$I$14)/100)))</calculatedColumnFormula>
      <totalsRowFormula>METLTask3[[#Totals],[Total]]/METLTask3[[#Totals],[CDR''s Weight]]</totalsRowFormula>
    </tableColumn>
    <tableColumn id="14" name="New SB Weight" totalsRowDxfId="165"/>
    <tableColumn id="15" name="New SB Total" totalsRowDxfId="164"/>
    <tableColumn id="17" name="calc" dataDxfId="163" totalsRowDxfId="162"/>
    <tableColumn id="16" name="New Proficiency Rating_x000a_(based on Sub Tasks)" dataDxfId="161" totalsRowDxfId="160">
      <calculatedColumnFormula>IF(ISBLANK(METLTask3[[#This Row],[calc]]),"",IF(METLTask3[[#This Row],[calc]]&gt;=0.66,$A$5,IF(AND(METLTask3[[#This Row],[calc]]&lt;0.66,METLTask3[[#This Row],[calc]]&gt;=0.33),$A$6,IF(METLTask3[[#This Row],[calc]]&lt;0.33,"U"))))</calculatedColumnFormula>
    </tableColumn>
    <tableColumn id="4" name="Remarks" dataDxfId="159" totalsRowDxfId="158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7" name="Table218" displayName="Table218" ref="A4:B7" totalsRowShown="0">
  <autoFilter ref="A4:B7"/>
  <tableColumns count="2">
    <tableColumn id="1" name="Column1"/>
    <tableColumn id="2" name="Column2" dataDxfId="157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18" name="METLTask4" displayName="METLTask4" ref="E3:P114" totalsRowCount="1" headerRowDxfId="102" dataDxfId="101" totalsRowDxfId="100">
  <autoFilter ref="E3:P113"/>
  <tableColumns count="12">
    <tableColumn id="1" name="METL Task 4" totalsRowLabel="Total Assessment" totalsRowDxfId="99"/>
    <tableColumn id="2" name="CDR's Weight" totalsRowFunction="sum" totalsRowDxfId="98"/>
    <tableColumn id="3" name="Commander's Assessment" totalsRowDxfId="97"/>
    <tableColumn id="5" name="Column1" dataDxfId="96" totalsRowDxfId="95" dataCellStyle="Percent">
      <calculatedColumnFormula>IF(ISBLANK(METLTask4[[#This Row],[CDR''s Weight]]),"",VLOOKUP(METLTask4[[#This Row],[Commander''s Assessment]],Table220[],2,FALSE)*(1-(METLTask4[CDR''s Weight]-1)*(100/MAX(METLTask4[CDR''s Weight])/100)))</calculatedColumnFormula>
    </tableColumn>
    <tableColumn id="13" name="Sub Task OML" totalsRowDxfId="94"/>
    <tableColumn id="8" name="Total" totalsRowFunction="sum" dataDxfId="93" totalsRowDxfId="92">
      <calculatedColumnFormula>IF(ISNUMBER(SEARCH("→",METLTask4[[#This Row],[METL Task 4]])),"",IF(G4=$A$5,$B$5*METLTask4[[#This Row],[CDR''s Weight]],IF(G4=$A$6,$B$6*METLTask4[[#This Row],[CDR''s Weight]],IF(G4=$A$7,$B$7*METLTask4[[#This Row],[CDR''s Weight]]))))</calculatedColumnFormula>
    </tableColumn>
    <tableColumn id="11" name="Sub Task Totals" totalsRowFunction="custom" dataDxfId="91" totalsRowDxfId="90">
      <calculatedColumnFormula>VLOOKUP(METLTask4[[#This Row],[Commander''s Assessment]],Table2[],2,FALSE)*(1-(($I$5:$I$14-1)*(100/MAX($I$5:$I$14)/100)))</calculatedColumnFormula>
      <totalsRowFormula>METLTask4[[#Totals],[Total]]/METLTask4[[#Totals],[CDR''s Weight]]</totalsRowFormula>
    </tableColumn>
    <tableColumn id="14" name="New SB Weight" totalsRowDxfId="89"/>
    <tableColumn id="15" name="New SB Total" totalsRowDxfId="88"/>
    <tableColumn id="17" name="calc" dataDxfId="87" totalsRowDxfId="86"/>
    <tableColumn id="16" name="New Proficiency Rating_x000a_(based on Sub Tasks)" dataDxfId="85" totalsRowDxfId="84">
      <calculatedColumnFormula>IF(ISBLANK(METLTask4[[#This Row],[calc]]),"",IF(METLTask4[[#This Row],[calc]]&gt;=0.66,$A$5,IF(AND(METLTask4[[#This Row],[calc]]&lt;0.66,METLTask4[[#This Row],[calc]]&gt;=0.33),$A$6,IF(METLTask4[[#This Row],[calc]]&lt;0.33,"U"))))</calculatedColumnFormula>
    </tableColumn>
    <tableColumn id="4" name="Remarks" dataDxfId="83" totalsRowDxfId="8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19" name="Table220" displayName="Table220" ref="A4:B7" totalsRowShown="0">
  <autoFilter ref="A4:B7"/>
  <tableColumns count="2">
    <tableColumn id="1" name="Column1"/>
    <tableColumn id="2" name="Column2" dataDxfId="8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2:H14"/>
  <sheetViews>
    <sheetView tabSelected="1" workbookViewId="0">
      <selection activeCell="A5" sqref="A5"/>
    </sheetView>
  </sheetViews>
  <sheetFormatPr defaultRowHeight="14.4" x14ac:dyDescent="0.3"/>
  <cols>
    <col min="3" max="3" width="41.88671875" customWidth="1"/>
    <col min="4" max="4" width="17.77734375" customWidth="1"/>
  </cols>
  <sheetData>
    <row r="2" spans="3:8" ht="31.2" x14ac:dyDescent="0.6">
      <c r="C2" s="47" t="s">
        <v>13</v>
      </c>
      <c r="D2" s="47"/>
      <c r="E2" s="10"/>
      <c r="F2" s="10"/>
      <c r="G2" s="10"/>
      <c r="H2" s="10"/>
    </row>
    <row r="4" spans="3:8" x14ac:dyDescent="0.3">
      <c r="C4" t="s">
        <v>14</v>
      </c>
      <c r="D4" t="s">
        <v>15</v>
      </c>
    </row>
    <row r="5" spans="3:8" ht="24.75" customHeight="1" x14ac:dyDescent="0.3">
      <c r="C5" s="11" t="str">
        <f>METLTask1[[#Headers],[This is a test]]</f>
        <v>This is a test</v>
      </c>
      <c r="D5" s="13" t="str">
        <f>'METL Task #1'!D3</f>
        <v>P</v>
      </c>
    </row>
    <row r="6" spans="3:8" ht="24.75" customHeight="1" x14ac:dyDescent="0.3">
      <c r="C6" s="11" t="str">
        <f>METLTask2[[#Headers],[METL Task 2]]</f>
        <v>METL Task 2</v>
      </c>
      <c r="D6" s="12" t="str">
        <f>'METL Task #2'!D3</f>
        <v>T</v>
      </c>
    </row>
    <row r="7" spans="3:8" ht="30" customHeight="1" x14ac:dyDescent="0.3">
      <c r="C7" s="11" t="str">
        <f>METLTask3[[#Headers],[METL Task 3]]</f>
        <v>METL Task 3</v>
      </c>
      <c r="D7" s="13" t="str">
        <f>'METL Task #3'!D3</f>
        <v>T</v>
      </c>
    </row>
    <row r="8" spans="3:8" ht="24.75" customHeight="1" x14ac:dyDescent="0.3">
      <c r="C8" s="11" t="str">
        <f>METLTask4[[#Headers],[METL Task 4]]</f>
        <v>METL Task 4</v>
      </c>
      <c r="D8" s="13" t="str">
        <f>'METL Task #4'!D3</f>
        <v>T</v>
      </c>
    </row>
    <row r="9" spans="3:8" ht="24.75" customHeight="1" x14ac:dyDescent="0.3">
      <c r="C9" s="11" t="str">
        <f>METLTask5[[#Headers],[METL Task 5]]</f>
        <v>METL Task 5</v>
      </c>
      <c r="D9" s="12" t="str">
        <f>'METL Task #5'!D3</f>
        <v>T</v>
      </c>
    </row>
    <row r="10" spans="3:8" ht="24.75" customHeight="1" x14ac:dyDescent="0.3"/>
    <row r="11" spans="3:8" ht="24.75" customHeight="1" x14ac:dyDescent="0.3"/>
    <row r="12" spans="3:8" ht="24.75" customHeight="1" x14ac:dyDescent="0.3"/>
    <row r="13" spans="3:8" ht="24.75" customHeight="1" x14ac:dyDescent="0.3"/>
    <row r="14" spans="3:8" ht="24.75" customHeight="1" x14ac:dyDescent="0.3"/>
  </sheetData>
  <sheetProtection algorithmName="SHA-512" hashValue="u0u7UM8RxCiVvfV5pEFphfarlLOzo/yQp7tUkpYa/qGurlfDZTxkE5rN7shRYIqFporV006w+QBkW2sCPwKXTg==" saltValue="5DkKC6br6oyY8irPTOOAZg==" spinCount="100000" sheet="1" objects="1" scenarios="1"/>
  <mergeCells count="1">
    <mergeCell ref="C2:D2"/>
  </mergeCells>
  <conditionalFormatting sqref="D5:D9">
    <cfRule type="cellIs" dxfId="389" priority="1" operator="equal">
      <formula>"U"</formula>
    </cfRule>
    <cfRule type="cellIs" dxfId="388" priority="2" operator="equal">
      <formula>"T"</formula>
    </cfRule>
    <cfRule type="cellIs" dxfId="387" priority="3" operator="equal">
      <formula>"P"</formula>
    </cfRule>
  </conditionalFormatting>
  <pageMargins left="0.7" right="0.7" top="0.75" bottom="0.75" header="0.3" footer="0.3"/>
  <pageSetup orientation="portrait" r:id="rId1"/>
  <ignoredErrors>
    <ignoredError sqref="D6:D9 C6 C5 C7:C9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topLeftCell="C1" zoomScaleNormal="100" workbookViewId="0">
      <selection activeCell="P3" sqref="P3"/>
    </sheetView>
  </sheetViews>
  <sheetFormatPr defaultRowHeight="14.4" outlineLevelRow="1" x14ac:dyDescent="0.3"/>
  <cols>
    <col min="1" max="2" width="9.88671875" hidden="1" customWidth="1"/>
    <col min="3" max="3" width="4.21875" customWidth="1"/>
    <col min="4" max="4" width="7.5546875" customWidth="1"/>
    <col min="5" max="5" width="26.88671875" customWidth="1"/>
    <col min="6" max="6" width="17.77734375" bestFit="1" customWidth="1"/>
    <col min="7" max="7" width="15.44140625" bestFit="1" customWidth="1"/>
    <col min="8" max="8" width="15.44140625" style="16" hidden="1" customWidth="1"/>
    <col min="9" max="9" width="20.21875" bestFit="1" customWidth="1"/>
    <col min="10" max="10" width="10" hidden="1" customWidth="1"/>
    <col min="11" max="11" width="16.77734375" hidden="1" customWidth="1"/>
    <col min="12" max="12" width="17.109375" hidden="1" customWidth="1"/>
    <col min="13" max="13" width="14.88671875" hidden="1" customWidth="1"/>
    <col min="14" max="14" width="6.5546875" hidden="1" customWidth="1"/>
    <col min="15" max="15" width="26.44140625" bestFit="1" customWidth="1"/>
    <col min="16" max="16" width="25.77734375" style="9" customWidth="1"/>
    <col min="17" max="17" width="10.109375" style="9" bestFit="1" customWidth="1"/>
    <col min="18" max="18" width="13.88671875" style="9" customWidth="1"/>
    <col min="19" max="21" width="9.109375" style="9"/>
  </cols>
  <sheetData>
    <row r="1" spans="1:16" ht="22.5" customHeight="1" x14ac:dyDescent="0.3">
      <c r="C1" s="8"/>
      <c r="D1" s="9"/>
      <c r="E1" s="9"/>
      <c r="F1" s="9"/>
      <c r="G1" s="9"/>
      <c r="H1" s="15"/>
      <c r="I1" s="9"/>
      <c r="J1" s="9"/>
      <c r="K1" s="9"/>
      <c r="L1" s="9"/>
      <c r="M1" s="9"/>
      <c r="N1" s="9"/>
      <c r="O1" s="9"/>
    </row>
    <row r="2" spans="1:16" ht="12.75" customHeight="1" x14ac:dyDescent="0.3">
      <c r="C2" s="8"/>
      <c r="D2" t="s">
        <v>12</v>
      </c>
      <c r="E2" s="9"/>
      <c r="F2" s="9"/>
      <c r="G2" s="9"/>
      <c r="H2" s="15"/>
      <c r="I2" s="9"/>
      <c r="J2" s="9"/>
      <c r="K2" s="9"/>
      <c r="L2" s="9"/>
      <c r="M2" s="9"/>
      <c r="N2" s="9"/>
      <c r="O2" s="9"/>
    </row>
    <row r="3" spans="1:16" ht="31.5" customHeight="1" thickBot="1" x14ac:dyDescent="0.35">
      <c r="B3" t="s">
        <v>6</v>
      </c>
      <c r="C3" s="8"/>
      <c r="D3" s="7" t="str">
        <f>IF((SUM(METLTask1[Column1])*10)/(SUM(METLTask1[CDR''s Weight]))&gt;=0.66,$A$5,IF(AND((SUM(METLTask1[Column1])*10)/(SUM(METLTask1[CDR''s Weight]))&lt;0.66,(SUM(METLTask1[Column1])*10)/(SUM(METLTask1[CDR''s Weight]))&gt;=0.33),$A$6,$A$7))</f>
        <v>P</v>
      </c>
      <c r="E3" s="19" t="s">
        <v>41</v>
      </c>
      <c r="F3" s="20" t="s">
        <v>0</v>
      </c>
      <c r="G3" s="20" t="s">
        <v>25</v>
      </c>
      <c r="H3" s="35" t="s">
        <v>19</v>
      </c>
      <c r="I3" s="20" t="s">
        <v>17</v>
      </c>
      <c r="J3" s="20" t="s">
        <v>4</v>
      </c>
      <c r="K3" s="21" t="s">
        <v>7</v>
      </c>
      <c r="L3" s="21" t="s">
        <v>8</v>
      </c>
      <c r="M3" s="21" t="s">
        <v>9</v>
      </c>
      <c r="N3" s="21" t="s">
        <v>10</v>
      </c>
      <c r="O3" s="42" t="s">
        <v>11</v>
      </c>
      <c r="P3" s="42" t="s">
        <v>43</v>
      </c>
    </row>
    <row r="4" spans="1:16" ht="15.45" customHeight="1" thickBot="1" x14ac:dyDescent="0.35">
      <c r="A4" t="s">
        <v>19</v>
      </c>
      <c r="B4" t="s">
        <v>20</v>
      </c>
      <c r="C4" s="8"/>
      <c r="D4" s="37">
        <f>(SUM(METLTask1[Column1])*10)/(SUM(METLTask1[CDR''s Weight]))</f>
        <v>0.60236363636363632</v>
      </c>
      <c r="E4" s="22" t="s">
        <v>34</v>
      </c>
      <c r="F4" s="20">
        <v>1</v>
      </c>
      <c r="G4" s="34" t="s">
        <v>2</v>
      </c>
      <c r="H4" s="35">
        <f>IF(ISBLANK(METLTask1[[#This Row],[CDR''s Weight]]),"",VLOOKUP(METLTask1[[#This Row],[Commander''s Assessment]],Table216[],2,FALSE)*(1-(METLTask1[CDR''s Weight]-1)*(100/MAX(METLTask1[CDR''s Weight])/100)))</f>
        <v>0.5</v>
      </c>
      <c r="I4" s="23"/>
      <c r="J4" s="24">
        <f>IF(ISNUMBER(SEARCH("→",METLTask1[[#This Row],[This is a test]])),"",IF(G4=$A$5,$B$5*METLTask1[[#This Row],[CDR''s Weight]],IF(G4=$A$6,$B$6*METLTask1[[#This Row],[CDR''s Weight]],IF(G4=$A$7,$B$7*METLTask1[[#This Row],[CDR''s Weight]]))))</f>
        <v>0.5</v>
      </c>
      <c r="K4" s="25" t="str">
        <f>IF(ISNUMBER(METLTask1[[#This Row],[Total]]),"",VLOOKUP(METLTask1[[#This Row],[Commander''s Assessment]],Table216[],2,FALSE)*(1-(($I$5:$I$14-1)*(100/MAX($I$5:$I$14)/100))))</f>
        <v/>
      </c>
      <c r="L4" s="26">
        <f>SUM(I5:I14)</f>
        <v>55</v>
      </c>
      <c r="M4" s="25">
        <f>SUM(K5:K14)*10</f>
        <v>33.609999999999992</v>
      </c>
      <c r="N4" s="25">
        <f>(SUM(K5:K14)*10)/(SUM(I5:I14))</f>
        <v>0.61109090909090891</v>
      </c>
      <c r="O4" s="2" t="str">
        <f>IF(ISBLANK(METLTask1[[#This Row],[calc]]),"",IF(METLTask1[[#This Row],[calc]]&gt;=0.66,$A$5,IF(AND(METLTask1[[#This Row],[calc]]&lt;0.66,METLTask1[[#This Row],[calc]]&gt;=0.33),$A$6,IF(METLTask1[[#This Row],[calc]]&lt;0.33,"U"))))</f>
        <v>P</v>
      </c>
      <c r="P4" s="44"/>
    </row>
    <row r="5" spans="1:16" outlineLevel="1" x14ac:dyDescent="0.3">
      <c r="A5" t="s">
        <v>1</v>
      </c>
      <c r="B5" s="14">
        <v>1</v>
      </c>
      <c r="C5" s="8"/>
      <c r="D5" s="9"/>
      <c r="E5" s="27" t="s">
        <v>33</v>
      </c>
      <c r="F5" s="32"/>
      <c r="G5" s="20" t="s">
        <v>2</v>
      </c>
      <c r="H5" s="35" t="str">
        <f>IF(ISBLANK(METLTask1[[#This Row],[CDR''s Weight]]),"",VLOOKUP(METLTask1[[#This Row],[Commander''s Assessment]],Table216[],2,FALSE)*(1-(METLTask1[CDR''s Weight]-1)*(100/MAX(METLTask1[CDR''s Weight])/100)))</f>
        <v/>
      </c>
      <c r="I5" s="28">
        <v>2</v>
      </c>
      <c r="J5" s="24" t="str">
        <f>IF(ISNUMBER(SEARCH("→",METLTask1[[#This Row],[This is a test]])),"",IF(G5=$A$5,$B$5*METLTask1[[#This Row],[CDR''s Weight]],IF(G5=$A$6,$B$6*METLTask1[[#This Row],[CDR''s Weight]],IF(G5=$A$7,$B$7*METLTask1[[#This Row],[CDR''s Weight]]))))</f>
        <v/>
      </c>
      <c r="K5" s="25">
        <f>VLOOKUP(METLTask1[[#This Row],[Commander''s Assessment]],Table216[],2,FALSE)*(1-(($I$5:$I$14-1)*(100/MAX($I$5:$I$14)/100)))</f>
        <v>0.45</v>
      </c>
      <c r="L5" s="26"/>
      <c r="M5" s="25"/>
      <c r="N5" s="25"/>
      <c r="O5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5" s="44"/>
    </row>
    <row r="6" spans="1:16" ht="16.649999999999999" customHeight="1" outlineLevel="1" x14ac:dyDescent="0.3">
      <c r="A6" t="s">
        <v>2</v>
      </c>
      <c r="B6" s="14">
        <v>0.5</v>
      </c>
      <c r="C6" s="8"/>
      <c r="D6" s="9"/>
      <c r="E6" s="27" t="s">
        <v>24</v>
      </c>
      <c r="F6" s="32"/>
      <c r="G6" s="20" t="s">
        <v>2</v>
      </c>
      <c r="H6" s="35" t="str">
        <f>IF(ISBLANK(METLTask1[[#This Row],[CDR''s Weight]]),"",VLOOKUP(METLTask1[[#This Row],[Commander''s Assessment]],Table216[],2,FALSE)*(1-(METLTask1[CDR''s Weight]-1)*(100/MAX(METLTask1[CDR''s Weight])/100)))</f>
        <v/>
      </c>
      <c r="I6" s="28">
        <v>3</v>
      </c>
      <c r="J6" s="24" t="str">
        <f>IF(ISNUMBER(SEARCH("→",METLTask1[[#This Row],[This is a test]])),"",IF(G6=$A$5,$B$5*METLTask1[[#This Row],[CDR''s Weight]],IF(G6=$A$6,$B$6*METLTask1[[#This Row],[CDR''s Weight]],IF(G6=$A$7,$B$7*METLTask1[[#This Row],[CDR''s Weight]]))))</f>
        <v/>
      </c>
      <c r="K6" s="25">
        <f>VLOOKUP(METLTask1[[#This Row],[Commander''s Assessment]],Table216[],2,FALSE)*(1-(($I$5:$I$14-1)*(100/MAX($I$5:$I$14)/100)))</f>
        <v>0.4</v>
      </c>
      <c r="L6" s="26"/>
      <c r="M6" s="25"/>
      <c r="N6" s="25"/>
      <c r="O6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6" s="44"/>
    </row>
    <row r="7" spans="1:16" outlineLevel="1" x14ac:dyDescent="0.3">
      <c r="A7" t="s">
        <v>3</v>
      </c>
      <c r="B7" s="14">
        <v>0.01</v>
      </c>
      <c r="C7" s="8"/>
      <c r="D7" s="9"/>
      <c r="E7" s="27" t="s">
        <v>24</v>
      </c>
      <c r="F7" s="32"/>
      <c r="G7" s="20" t="s">
        <v>1</v>
      </c>
      <c r="H7" s="35" t="str">
        <f>IF(ISBLANK(METLTask1[[#This Row],[CDR''s Weight]]),"",VLOOKUP(METLTask1[[#This Row],[Commander''s Assessment]],Table216[],2,FALSE)*(1-(METLTask1[CDR''s Weight]-1)*(100/MAX(METLTask1[CDR''s Weight])/100)))</f>
        <v/>
      </c>
      <c r="I7" s="28">
        <v>4</v>
      </c>
      <c r="J7" s="24" t="str">
        <f>IF(ISNUMBER(SEARCH("→",METLTask1[[#This Row],[This is a test]])),"",IF(G7=$A$5,$B$5*METLTask1[[#This Row],[CDR''s Weight]],IF(G7=$A$6,$B$6*METLTask1[[#This Row],[CDR''s Weight]],IF(G7=$A$7,$B$7*METLTask1[[#This Row],[CDR''s Weight]]))))</f>
        <v/>
      </c>
      <c r="K7" s="25">
        <f>VLOOKUP(METLTask1[[#This Row],[Commander''s Assessment]],Table216[],2,FALSE)*(1-(($I$5:$I$14-1)*(100/MAX($I$5:$I$14)/100)))</f>
        <v>0.7</v>
      </c>
      <c r="L7" s="26"/>
      <c r="M7" s="25"/>
      <c r="N7" s="25"/>
      <c r="O7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7" s="44"/>
    </row>
    <row r="8" spans="1:16" outlineLevel="1" x14ac:dyDescent="0.3">
      <c r="C8" s="8"/>
      <c r="D8" s="9"/>
      <c r="E8" s="27" t="s">
        <v>24</v>
      </c>
      <c r="F8" s="33"/>
      <c r="G8" s="20" t="s">
        <v>1</v>
      </c>
      <c r="H8" s="35" t="str">
        <f>IF(ISBLANK(METLTask1[[#This Row],[CDR''s Weight]]),"",VLOOKUP(METLTask1[[#This Row],[Commander''s Assessment]],Table216[],2,FALSE)*(1-(METLTask1[CDR''s Weight]-1)*(100/MAX(METLTask1[CDR''s Weight])/100)))</f>
        <v/>
      </c>
      <c r="I8" s="28">
        <v>5</v>
      </c>
      <c r="J8" s="24" t="str">
        <f>IF(ISNUMBER(SEARCH("→",METLTask1[[#This Row],[This is a test]])),"",IF(G8=$A$5,$B$5*METLTask1[[#This Row],[CDR''s Weight]],IF(G8=$A$6,$B$6*METLTask1[[#This Row],[CDR''s Weight]],IF(G8=$A$7,$B$7*METLTask1[[#This Row],[CDR''s Weight]]))))</f>
        <v/>
      </c>
      <c r="K8" s="25">
        <f>VLOOKUP(METLTask1[[#This Row],[Commander''s Assessment]],Table216[],2,FALSE)*(1-(($I$5:$I$14-1)*(100/MAX($I$5:$I$14)/100)))</f>
        <v>0.6</v>
      </c>
      <c r="L8" s="26"/>
      <c r="M8" s="25"/>
      <c r="N8" s="25"/>
      <c r="O8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8" s="44"/>
    </row>
    <row r="9" spans="1:16" outlineLevel="1" x14ac:dyDescent="0.3">
      <c r="C9" s="8"/>
      <c r="D9" s="9"/>
      <c r="E9" s="27" t="s">
        <v>24</v>
      </c>
      <c r="F9" s="33"/>
      <c r="G9" s="20" t="s">
        <v>1</v>
      </c>
      <c r="H9" s="35" t="str">
        <f>IF(ISBLANK(METLTask1[[#This Row],[CDR''s Weight]]),"",VLOOKUP(METLTask1[[#This Row],[Commander''s Assessment]],Table216[],2,FALSE)*(1-(METLTask1[CDR''s Weight]-1)*(100/MAX(METLTask1[CDR''s Weight])/100)))</f>
        <v/>
      </c>
      <c r="I9" s="28">
        <v>6</v>
      </c>
      <c r="J9" s="24" t="str">
        <f>IF(ISNUMBER(SEARCH("→",METLTask1[[#This Row],[This is a test]])),"",IF(G9=$A$5,$B$5*METLTask1[[#This Row],[CDR''s Weight]],IF(G9=$A$6,$B$6*METLTask1[[#This Row],[CDR''s Weight]],IF(G9=$A$7,$B$7*METLTask1[[#This Row],[CDR''s Weight]]))))</f>
        <v/>
      </c>
      <c r="K9" s="25">
        <f>VLOOKUP(METLTask1[[#This Row],[Commander''s Assessment]],Table216[],2,FALSE)*(1-(($I$5:$I$14-1)*(100/MAX($I$5:$I$14)/100)))</f>
        <v>0.5</v>
      </c>
      <c r="L9" s="26"/>
      <c r="M9" s="25"/>
      <c r="N9" s="25"/>
      <c r="O9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9" s="44"/>
    </row>
    <row r="10" spans="1:16" outlineLevel="1" x14ac:dyDescent="0.3">
      <c r="C10" s="8"/>
      <c r="D10" s="9"/>
      <c r="E10" s="27" t="s">
        <v>24</v>
      </c>
      <c r="F10" s="31"/>
      <c r="G10" s="20" t="s">
        <v>2</v>
      </c>
      <c r="H10" s="35" t="str">
        <f>IF(ISBLANK(METLTask1[[#This Row],[CDR''s Weight]]),"",VLOOKUP(METLTask1[[#This Row],[Commander''s Assessment]],Table216[],2,FALSE)*(1-(METLTask1[CDR''s Weight]-1)*(100/MAX(METLTask1[CDR''s Weight])/100)))</f>
        <v/>
      </c>
      <c r="I10" s="28">
        <v>7</v>
      </c>
      <c r="J10" s="24" t="str">
        <f>IF(ISNUMBER(SEARCH("→",METLTask1[[#This Row],[This is a test]])),"",IF(G10=$A$5,$B$5*METLTask1[[#This Row],[CDR''s Weight]],IF(G10=$A$6,$B$6*METLTask1[[#This Row],[CDR''s Weight]],IF(G10=$A$7,$B$7*METLTask1[[#This Row],[CDR''s Weight]]))))</f>
        <v/>
      </c>
      <c r="K10" s="25">
        <f>VLOOKUP(METLTask1[[#This Row],[Commander''s Assessment]],Table216[],2,FALSE)*(1-(($I$5:$I$14-1)*(100/MAX($I$5:$I$14)/100)))</f>
        <v>0.19999999999999996</v>
      </c>
      <c r="L10" s="26"/>
      <c r="M10" s="25"/>
      <c r="N10" s="25"/>
      <c r="O10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0" s="44"/>
    </row>
    <row r="11" spans="1:16" outlineLevel="1" x14ac:dyDescent="0.3">
      <c r="C11" s="8"/>
      <c r="D11" s="9"/>
      <c r="E11" s="27" t="s">
        <v>24</v>
      </c>
      <c r="F11" s="31"/>
      <c r="G11" s="20" t="s">
        <v>1</v>
      </c>
      <c r="H11" s="35" t="str">
        <f>IF(ISBLANK(METLTask1[[#This Row],[CDR''s Weight]]),"",VLOOKUP(METLTask1[[#This Row],[Commander''s Assessment]],Table216[],2,FALSE)*(1-(METLTask1[CDR''s Weight]-1)*(100/MAX(METLTask1[CDR''s Weight])/100)))</f>
        <v/>
      </c>
      <c r="I11" s="28">
        <v>8</v>
      </c>
      <c r="J11" s="24" t="str">
        <f>IF(ISNUMBER(SEARCH("→",METLTask1[[#This Row],[This is a test]])),"",IF(G11=$A$5,$B$5*METLTask1[[#This Row],[CDR''s Weight]],IF(G11=$A$6,$B$6*METLTask1[[#This Row],[CDR''s Weight]],IF(G11=$A$7,$B$7*METLTask1[[#This Row],[CDR''s Weight]]))))</f>
        <v/>
      </c>
      <c r="K11" s="25">
        <f>VLOOKUP(METLTask1[[#This Row],[Commander''s Assessment]],Table216[],2,FALSE)*(1-(($I$5:$I$14-1)*(100/MAX($I$5:$I$14)/100)))</f>
        <v>0.29999999999999993</v>
      </c>
      <c r="L11" s="26"/>
      <c r="M11" s="25"/>
      <c r="N11" s="25"/>
      <c r="O11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1" s="44"/>
    </row>
    <row r="12" spans="1:16" outlineLevel="1" x14ac:dyDescent="0.3">
      <c r="C12" s="8"/>
      <c r="D12" s="9"/>
      <c r="E12" s="27" t="s">
        <v>24</v>
      </c>
      <c r="F12" s="31"/>
      <c r="G12" s="20" t="s">
        <v>1</v>
      </c>
      <c r="H12" s="35" t="str">
        <f>IF(ISBLANK(METLTask1[[#This Row],[CDR''s Weight]]),"",VLOOKUP(METLTask1[[#This Row],[Commander''s Assessment]],Table216[],2,FALSE)*(1-(METLTask1[CDR''s Weight]-1)*(100/MAX(METLTask1[CDR''s Weight])/100)))</f>
        <v/>
      </c>
      <c r="I12" s="28">
        <v>9</v>
      </c>
      <c r="J12" s="24" t="str">
        <f>IF(ISNUMBER(SEARCH("→",METLTask1[[#This Row],[This is a test]])),"",IF(G12=$A$5,$B$5*METLTask1[[#This Row],[CDR''s Weight]],IF(G12=$A$6,$B$6*METLTask1[[#This Row],[CDR''s Weight]],IF(G12=$A$7,$B$7*METLTask1[[#This Row],[CDR''s Weight]]))))</f>
        <v/>
      </c>
      <c r="K12" s="25">
        <f>VLOOKUP(METLTask1[[#This Row],[Commander''s Assessment]],Table216[],2,FALSE)*(1-(($I$5:$I$14-1)*(100/MAX($I$5:$I$14)/100)))</f>
        <v>0.19999999999999996</v>
      </c>
      <c r="L12" s="26"/>
      <c r="M12" s="25"/>
      <c r="N12" s="25"/>
      <c r="O12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2" s="44"/>
    </row>
    <row r="13" spans="1:16" outlineLevel="1" x14ac:dyDescent="0.3">
      <c r="C13" s="8"/>
      <c r="D13" s="9"/>
      <c r="E13" s="27" t="s">
        <v>24</v>
      </c>
      <c r="F13" s="31"/>
      <c r="G13" s="20" t="s">
        <v>3</v>
      </c>
      <c r="H13" s="35" t="str">
        <f>IF(ISBLANK(METLTask1[[#This Row],[CDR''s Weight]]),"",VLOOKUP(METLTask1[[#This Row],[Commander''s Assessment]],Table216[],2,FALSE)*(1-(METLTask1[CDR''s Weight]-1)*(100/MAX(METLTask1[CDR''s Weight])/100)))</f>
        <v/>
      </c>
      <c r="I13" s="28">
        <v>10</v>
      </c>
      <c r="J13" s="24" t="str">
        <f>IF(ISNUMBER(SEARCH("→",METLTask1[[#This Row],[This is a test]])),"",IF(G13=$A$5,$B$5*METLTask1[[#This Row],[CDR''s Weight]],IF(G13=$A$6,$B$6*METLTask1[[#This Row],[CDR''s Weight]],IF(G13=$A$7,$B$7*METLTask1[[#This Row],[CDR''s Weight]]))))</f>
        <v/>
      </c>
      <c r="K13" s="25">
        <f>VLOOKUP(METLTask1[[#This Row],[Commander''s Assessment]],Table216[],2,FALSE)*(1-(($I$5:$I$14-1)*(100/MAX($I$5:$I$14)/100)))</f>
        <v>9.999999999999998E-4</v>
      </c>
      <c r="L13" s="26"/>
      <c r="M13" s="25"/>
      <c r="N13" s="25"/>
      <c r="O13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3" s="44"/>
    </row>
    <row r="14" spans="1:16" outlineLevel="1" x14ac:dyDescent="0.3">
      <c r="C14" s="8"/>
      <c r="D14" s="9"/>
      <c r="E14" s="27" t="s">
        <v>24</v>
      </c>
      <c r="F14" s="30"/>
      <c r="G14" s="20" t="s">
        <v>3</v>
      </c>
      <c r="H14" s="35" t="str">
        <f>IF(ISBLANK(METLTask1[[#This Row],[CDR''s Weight]]),"",VLOOKUP(METLTask1[[#This Row],[Commander''s Assessment]],Table216[],2,FALSE)*(1-(METLTask1[CDR''s Weight]-1)*(100/MAX(METLTask1[CDR''s Weight])/100)))</f>
        <v/>
      </c>
      <c r="I14" s="29">
        <v>1</v>
      </c>
      <c r="J14" s="24" t="str">
        <f>IF(ISNUMBER(SEARCH("→",METLTask1[[#This Row],[This is a test]])),"",IF(G14=$A$5,$B$5*METLTask1[[#This Row],[CDR''s Weight]],IF(G14=$A$6,$B$6*METLTask1[[#This Row],[CDR''s Weight]],IF(G14=$A$7,$B$7*METLTask1[[#This Row],[CDR''s Weight]]))))</f>
        <v/>
      </c>
      <c r="K14" s="25">
        <f>VLOOKUP(METLTask1[[#This Row],[Commander''s Assessment]],Table216[],2,FALSE)*(1-(($I$5:$I$14-1)*(100/MAX($I$5:$I$14)/100)))</f>
        <v>0.01</v>
      </c>
      <c r="L14" s="26"/>
      <c r="M14" s="21"/>
      <c r="N14" s="21"/>
      <c r="O14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4" s="44"/>
    </row>
    <row r="15" spans="1:16" x14ac:dyDescent="0.3">
      <c r="C15" s="8"/>
      <c r="D15" s="9"/>
      <c r="E15" s="22" t="s">
        <v>16</v>
      </c>
      <c r="F15" s="20">
        <v>2</v>
      </c>
      <c r="G15" s="20" t="s">
        <v>1</v>
      </c>
      <c r="H15" s="35">
        <f>IF(ISBLANK(METLTask1[[#This Row],[CDR''s Weight]]),"",VLOOKUP(METLTask1[[#This Row],[Commander''s Assessment]],Table216[],2,FALSE)*(1-(METLTask1[CDR''s Weight]-1)*(100/MAX(METLTask1[CDR''s Weight])/100)))</f>
        <v>0.9</v>
      </c>
      <c r="I15" s="23"/>
      <c r="J15" s="24">
        <f>IF(ISNUMBER(SEARCH("→",METLTask1[[#This Row],[This is a test]])),"",IF(G15=$A$5,$B$5*METLTask1[[#This Row],[CDR''s Weight]],IF(G15=$A$6,$B$6*METLTask1[[#This Row],[CDR''s Weight]],IF(G15=$A$7,$B$7*METLTask1[[#This Row],[CDR''s Weight]]))))</f>
        <v>2</v>
      </c>
      <c r="K15" s="25" t="str">
        <f>IF(ISNUMBER(METLTask1[[#This Row],[Total]]),"",VLOOKUP(METLTask1[[#This Row],[Commander''s Assessment]],Table216[],2,FALSE)*(1-(($I$16:$I$25-1)*(100/MAX($I$16:$I$25)/100))))</f>
        <v/>
      </c>
      <c r="L15" s="26">
        <f>SUM(I16:I25)</f>
        <v>55</v>
      </c>
      <c r="M15" s="25">
        <f>SUM(K16:K25)*10</f>
        <v>33.609999999999992</v>
      </c>
      <c r="N15" s="25">
        <f>METLTask1[[#This Row],[New SB Total]]/METLTask1[[#This Row],[New SB Weight]]</f>
        <v>0.61109090909090891</v>
      </c>
      <c r="O15" s="2" t="str">
        <f>IF(ISBLANK(METLTask1[[#This Row],[calc]]),"",IF(METLTask1[[#This Row],[calc]]&gt;=0.66,$A$5,IF(AND(METLTask1[[#This Row],[calc]]&lt;0.66,METLTask1[[#This Row],[calc]]&gt;=0.33),$A$6,IF(METLTask1[[#This Row],[calc]]&lt;0.33,"U"))))</f>
        <v>P</v>
      </c>
      <c r="P15" s="44"/>
    </row>
    <row r="16" spans="1:16" hidden="1" outlineLevel="1" x14ac:dyDescent="0.3">
      <c r="B16" s="14"/>
      <c r="C16" s="8"/>
      <c r="D16" s="9"/>
      <c r="E16" s="27" t="s">
        <v>33</v>
      </c>
      <c r="F16" s="33"/>
      <c r="G16" s="20" t="s">
        <v>2</v>
      </c>
      <c r="H16" s="35" t="str">
        <f>IF(ISBLANK(METLTask1[[#This Row],[CDR''s Weight]]),"",VLOOKUP(METLTask1[[#This Row],[Commander''s Assessment]],Table216[],2,FALSE)*(1-(METLTask1[CDR''s Weight]-1)*(100/MAX(METLTask1[CDR''s Weight])/100)))</f>
        <v/>
      </c>
      <c r="I16" s="28">
        <v>2</v>
      </c>
      <c r="J16" s="24" t="str">
        <f>IF(ISNUMBER(SEARCH("→",METLTask1[[#This Row],[This is a test]])),"",IF(G16=$A$5,$B$5*METLTask1[[#This Row],[CDR''s Weight]],IF(G16=$A$6,$B$6*METLTask1[[#This Row],[CDR''s Weight]],IF(G16=$A$7,$B$7*METLTask1[[#This Row],[CDR''s Weight]]))))</f>
        <v/>
      </c>
      <c r="K16" s="25">
        <f>VLOOKUP(METLTask1[[#This Row],[Commander''s Assessment]],Table216[],2,FALSE)*(1-(($I$16:$I$25-1)*(100/MAX($I$16:$I$25)/100)))</f>
        <v>0.45</v>
      </c>
      <c r="L16" s="26"/>
      <c r="M16" s="25"/>
      <c r="N16" s="25"/>
      <c r="O16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6" s="44"/>
    </row>
    <row r="17" spans="2:16" ht="16.649999999999999" hidden="1" customHeight="1" outlineLevel="1" x14ac:dyDescent="0.3">
      <c r="B17" s="14"/>
      <c r="C17" s="8"/>
      <c r="D17" s="9"/>
      <c r="E17" s="27" t="s">
        <v>24</v>
      </c>
      <c r="F17" s="33"/>
      <c r="G17" s="20" t="s">
        <v>2</v>
      </c>
      <c r="H17" s="35" t="str">
        <f>IF(ISBLANK(METLTask1[[#This Row],[CDR''s Weight]]),"",VLOOKUP(METLTask1[[#This Row],[Commander''s Assessment]],Table216[],2,FALSE)*(1-(METLTask1[CDR''s Weight]-1)*(100/MAX(METLTask1[CDR''s Weight])/100)))</f>
        <v/>
      </c>
      <c r="I17" s="28">
        <v>3</v>
      </c>
      <c r="J17" s="24" t="str">
        <f>IF(ISNUMBER(SEARCH("→",METLTask1[[#This Row],[This is a test]])),"",IF(G17=$A$5,$B$5*METLTask1[[#This Row],[CDR''s Weight]],IF(G17=$A$6,$B$6*METLTask1[[#This Row],[CDR''s Weight]],IF(G17=$A$7,$B$7*METLTask1[[#This Row],[CDR''s Weight]]))))</f>
        <v/>
      </c>
      <c r="K17" s="25">
        <f>VLOOKUP(METLTask1[[#This Row],[Commander''s Assessment]],Table216[],2,FALSE)*(1-(($I$16:$I$25-1)*(100/MAX($I$16:$I$25)/100)))</f>
        <v>0.4</v>
      </c>
      <c r="L17" s="26"/>
      <c r="M17" s="25"/>
      <c r="N17" s="25"/>
      <c r="O17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7" s="44"/>
    </row>
    <row r="18" spans="2:16" hidden="1" outlineLevel="1" x14ac:dyDescent="0.3">
      <c r="B18" s="14"/>
      <c r="C18" s="8"/>
      <c r="D18" s="9"/>
      <c r="E18" s="27" t="s">
        <v>24</v>
      </c>
      <c r="F18" s="31"/>
      <c r="G18" s="20" t="s">
        <v>1</v>
      </c>
      <c r="H18" s="35" t="str">
        <f>IF(ISBLANK(METLTask1[[#This Row],[CDR''s Weight]]),"",VLOOKUP(METLTask1[[#This Row],[Commander''s Assessment]],Table216[],2,FALSE)*(1-(METLTask1[CDR''s Weight]-1)*(100/MAX(METLTask1[CDR''s Weight])/100)))</f>
        <v/>
      </c>
      <c r="I18" s="28">
        <v>4</v>
      </c>
      <c r="J18" s="24" t="str">
        <f>IF(ISNUMBER(SEARCH("→",METLTask1[[#This Row],[This is a test]])),"",IF(G18=$A$5,$B$5*METLTask1[[#This Row],[CDR''s Weight]],IF(G18=$A$6,$B$6*METLTask1[[#This Row],[CDR''s Weight]],IF(G18=$A$7,$B$7*METLTask1[[#This Row],[CDR''s Weight]]))))</f>
        <v/>
      </c>
      <c r="K18" s="25">
        <f>VLOOKUP(METLTask1[[#This Row],[Commander''s Assessment]],Table216[],2,FALSE)*(1-(($I$16:$I$25-1)*(100/MAX($I$16:$I$25)/100)))</f>
        <v>0.7</v>
      </c>
      <c r="L18" s="26"/>
      <c r="M18" s="25"/>
      <c r="N18" s="25"/>
      <c r="O18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8" s="44"/>
    </row>
    <row r="19" spans="2:16" hidden="1" outlineLevel="1" x14ac:dyDescent="0.3">
      <c r="C19" s="8"/>
      <c r="D19" s="9"/>
      <c r="E19" s="27" t="s">
        <v>24</v>
      </c>
      <c r="F19" s="33"/>
      <c r="G19" s="20" t="s">
        <v>1</v>
      </c>
      <c r="H19" s="35" t="str">
        <f>IF(ISBLANK(METLTask1[[#This Row],[CDR''s Weight]]),"",VLOOKUP(METLTask1[[#This Row],[Commander''s Assessment]],Table216[],2,FALSE)*(1-(METLTask1[CDR''s Weight]-1)*(100/MAX(METLTask1[CDR''s Weight])/100)))</f>
        <v/>
      </c>
      <c r="I19" s="28">
        <v>5</v>
      </c>
      <c r="J19" s="24" t="str">
        <f>IF(ISNUMBER(SEARCH("→",METLTask1[[#This Row],[This is a test]])),"",IF(G19=$A$5,$B$5*METLTask1[[#This Row],[CDR''s Weight]],IF(G19=$A$6,$B$6*METLTask1[[#This Row],[CDR''s Weight]],IF(G19=$A$7,$B$7*METLTask1[[#This Row],[CDR''s Weight]]))))</f>
        <v/>
      </c>
      <c r="K19" s="25">
        <f>VLOOKUP(METLTask1[[#This Row],[Commander''s Assessment]],Table216[],2,FALSE)*(1-(($I$16:$I$25-1)*(100/MAX($I$16:$I$25)/100)))</f>
        <v>0.6</v>
      </c>
      <c r="L19" s="26"/>
      <c r="M19" s="25"/>
      <c r="N19" s="25"/>
      <c r="O19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9" s="44"/>
    </row>
    <row r="20" spans="2:16" hidden="1" outlineLevel="1" x14ac:dyDescent="0.3">
      <c r="C20" s="8"/>
      <c r="D20" s="9"/>
      <c r="E20" s="27" t="s">
        <v>24</v>
      </c>
      <c r="F20" s="33"/>
      <c r="G20" s="20" t="s">
        <v>1</v>
      </c>
      <c r="H20" s="35" t="str">
        <f>IF(ISBLANK(METLTask1[[#This Row],[CDR''s Weight]]),"",VLOOKUP(METLTask1[[#This Row],[Commander''s Assessment]],Table216[],2,FALSE)*(1-(METLTask1[CDR''s Weight]-1)*(100/MAX(METLTask1[CDR''s Weight])/100)))</f>
        <v/>
      </c>
      <c r="I20" s="28">
        <v>6</v>
      </c>
      <c r="J20" s="24" t="str">
        <f>IF(ISNUMBER(SEARCH("→",METLTask1[[#This Row],[This is a test]])),"",IF(G20=$A$5,$B$5*METLTask1[[#This Row],[CDR''s Weight]],IF(G20=$A$6,$B$6*METLTask1[[#This Row],[CDR''s Weight]],IF(G20=$A$7,$B$7*METLTask1[[#This Row],[CDR''s Weight]]))))</f>
        <v/>
      </c>
      <c r="K20" s="25">
        <f>VLOOKUP(METLTask1[[#This Row],[Commander''s Assessment]],Table216[],2,FALSE)*(1-(($I$16:$I$25-1)*(100/MAX($I$16:$I$25)/100)))</f>
        <v>0.5</v>
      </c>
      <c r="L20" s="26"/>
      <c r="M20" s="25"/>
      <c r="N20" s="25"/>
      <c r="O20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20" s="44"/>
    </row>
    <row r="21" spans="2:16" hidden="1" outlineLevel="1" x14ac:dyDescent="0.3">
      <c r="C21" s="8"/>
      <c r="D21" s="9"/>
      <c r="E21" s="27" t="s">
        <v>24</v>
      </c>
      <c r="F21" s="33"/>
      <c r="G21" s="20" t="s">
        <v>2</v>
      </c>
      <c r="H21" s="35" t="str">
        <f>IF(ISBLANK(METLTask1[[#This Row],[CDR''s Weight]]),"",VLOOKUP(METLTask1[[#This Row],[Commander''s Assessment]],Table216[],2,FALSE)*(1-(METLTask1[CDR''s Weight]-1)*(100/MAX(METLTask1[CDR''s Weight])/100)))</f>
        <v/>
      </c>
      <c r="I21" s="28">
        <v>7</v>
      </c>
      <c r="J21" s="24" t="str">
        <f>IF(ISNUMBER(SEARCH("→",METLTask1[[#This Row],[This is a test]])),"",IF(G21=$A$5,$B$5*METLTask1[[#This Row],[CDR''s Weight]],IF(G21=$A$6,$B$6*METLTask1[[#This Row],[CDR''s Weight]],IF(G21=$A$7,$B$7*METLTask1[[#This Row],[CDR''s Weight]]))))</f>
        <v/>
      </c>
      <c r="K21" s="25">
        <f>VLOOKUP(METLTask1[[#This Row],[Commander''s Assessment]],Table216[],2,FALSE)*(1-(($I$16:$I$25-1)*(100/MAX($I$16:$I$25)/100)))</f>
        <v>0.19999999999999996</v>
      </c>
      <c r="L21" s="26"/>
      <c r="M21" s="25"/>
      <c r="N21" s="25"/>
      <c r="O21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21" s="44"/>
    </row>
    <row r="22" spans="2:16" hidden="1" outlineLevel="1" x14ac:dyDescent="0.3">
      <c r="C22" s="8"/>
      <c r="D22" s="9"/>
      <c r="E22" s="27" t="s">
        <v>24</v>
      </c>
      <c r="F22" s="33"/>
      <c r="G22" s="20" t="s">
        <v>1</v>
      </c>
      <c r="H22" s="35" t="str">
        <f>IF(ISBLANK(METLTask1[[#This Row],[CDR''s Weight]]),"",VLOOKUP(METLTask1[[#This Row],[Commander''s Assessment]],Table216[],2,FALSE)*(1-(METLTask1[CDR''s Weight]-1)*(100/MAX(METLTask1[CDR''s Weight])/100)))</f>
        <v/>
      </c>
      <c r="I22" s="28">
        <v>8</v>
      </c>
      <c r="J22" s="24" t="str">
        <f>IF(ISNUMBER(SEARCH("→",METLTask1[[#This Row],[This is a test]])),"",IF(G22=$A$5,$B$5*METLTask1[[#This Row],[CDR''s Weight]],IF(G22=$A$6,$B$6*METLTask1[[#This Row],[CDR''s Weight]],IF(G22=$A$7,$B$7*METLTask1[[#This Row],[CDR''s Weight]]))))</f>
        <v/>
      </c>
      <c r="K22" s="25">
        <f>VLOOKUP(METLTask1[[#This Row],[Commander''s Assessment]],Table216[],2,FALSE)*(1-(($I$16:$I$25-1)*(100/MAX($I$16:$I$25)/100)))</f>
        <v>0.29999999999999993</v>
      </c>
      <c r="L22" s="26"/>
      <c r="M22" s="25"/>
      <c r="N22" s="25"/>
      <c r="O22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22" s="44"/>
    </row>
    <row r="23" spans="2:16" hidden="1" outlineLevel="1" x14ac:dyDescent="0.3">
      <c r="C23" s="8"/>
      <c r="D23" s="9"/>
      <c r="E23" s="27" t="s">
        <v>24</v>
      </c>
      <c r="F23" s="33"/>
      <c r="G23" s="20" t="s">
        <v>1</v>
      </c>
      <c r="H23" s="35" t="str">
        <f>IF(ISBLANK(METLTask1[[#This Row],[CDR''s Weight]]),"",VLOOKUP(METLTask1[[#This Row],[Commander''s Assessment]],Table216[],2,FALSE)*(1-(METLTask1[CDR''s Weight]-1)*(100/MAX(METLTask1[CDR''s Weight])/100)))</f>
        <v/>
      </c>
      <c r="I23" s="28">
        <v>9</v>
      </c>
      <c r="J23" s="24" t="str">
        <f>IF(ISNUMBER(SEARCH("→",METLTask1[[#This Row],[This is a test]])),"",IF(G23=$A$5,$B$5*METLTask1[[#This Row],[CDR''s Weight]],IF(G23=$A$6,$B$6*METLTask1[[#This Row],[CDR''s Weight]],IF(G23=$A$7,$B$7*METLTask1[[#This Row],[CDR''s Weight]]))))</f>
        <v/>
      </c>
      <c r="K23" s="25">
        <f>VLOOKUP(METLTask1[[#This Row],[Commander''s Assessment]],Table216[],2,FALSE)*(1-(($I$16:$I$25-1)*(100/MAX($I$16:$I$25)/100)))</f>
        <v>0.19999999999999996</v>
      </c>
      <c r="L23" s="26"/>
      <c r="M23" s="25"/>
      <c r="N23" s="25"/>
      <c r="O23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23" s="44"/>
    </row>
    <row r="24" spans="2:16" hidden="1" outlineLevel="1" x14ac:dyDescent="0.3">
      <c r="C24" s="8"/>
      <c r="D24" s="9"/>
      <c r="E24" s="27" t="s">
        <v>24</v>
      </c>
      <c r="F24" s="33"/>
      <c r="G24" s="20" t="s">
        <v>3</v>
      </c>
      <c r="H24" s="35" t="str">
        <f>IF(ISBLANK(METLTask1[[#This Row],[CDR''s Weight]]),"",VLOOKUP(METLTask1[[#This Row],[Commander''s Assessment]],Table216[],2,FALSE)*(1-(METLTask1[CDR''s Weight]-1)*(100/MAX(METLTask1[CDR''s Weight])/100)))</f>
        <v/>
      </c>
      <c r="I24" s="28">
        <v>10</v>
      </c>
      <c r="J24" s="24" t="str">
        <f>IF(ISNUMBER(SEARCH("→",METLTask1[[#This Row],[This is a test]])),"",IF(G24=$A$5,$B$5*METLTask1[[#This Row],[CDR''s Weight]],IF(G24=$A$6,$B$6*METLTask1[[#This Row],[CDR''s Weight]],IF(G24=$A$7,$B$7*METLTask1[[#This Row],[CDR''s Weight]]))))</f>
        <v/>
      </c>
      <c r="K24" s="25">
        <f>VLOOKUP(METLTask1[[#This Row],[Commander''s Assessment]],Table216[],2,FALSE)*(1-(($I$16:$I$25-1)*(100/MAX($I$16:$I$25)/100)))</f>
        <v>9.999999999999998E-4</v>
      </c>
      <c r="L24" s="26"/>
      <c r="M24" s="25"/>
      <c r="N24" s="25"/>
      <c r="O24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24" s="44"/>
    </row>
    <row r="25" spans="2:16" hidden="1" outlineLevel="1" x14ac:dyDescent="0.3">
      <c r="C25" s="8"/>
      <c r="D25" s="9"/>
      <c r="E25" s="27" t="s">
        <v>24</v>
      </c>
      <c r="F25" s="31"/>
      <c r="G25" s="20" t="s">
        <v>3</v>
      </c>
      <c r="H25" s="35" t="str">
        <f>IF(ISBLANK(METLTask1[[#This Row],[CDR''s Weight]]),"",VLOOKUP(METLTask1[[#This Row],[Commander''s Assessment]],Table216[],2,FALSE)*(1-(METLTask1[CDR''s Weight]-1)*(100/MAX(METLTask1[CDR''s Weight])/100)))</f>
        <v/>
      </c>
      <c r="I25" s="29">
        <v>1</v>
      </c>
      <c r="J25" s="24" t="str">
        <f>IF(ISNUMBER(SEARCH("→",METLTask1[[#This Row],[This is a test]])),"",IF(G25=$A$5,$B$5*METLTask1[[#This Row],[CDR''s Weight]],IF(G25=$A$6,$B$6*METLTask1[[#This Row],[CDR''s Weight]],IF(G25=$A$7,$B$7*METLTask1[[#This Row],[CDR''s Weight]]))))</f>
        <v/>
      </c>
      <c r="K25" s="25">
        <f>VLOOKUP(METLTask1[[#This Row],[Commander''s Assessment]],Table216[],2,FALSE)*(1-(($I$16:$I$25-1)*(100/MAX($I$16:$I$25)/100)))</f>
        <v>0.01</v>
      </c>
      <c r="L25" s="26"/>
      <c r="M25" s="21"/>
      <c r="N25" s="21"/>
      <c r="O25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25" s="44"/>
    </row>
    <row r="26" spans="2:16" collapsed="1" x14ac:dyDescent="0.3">
      <c r="E26" s="22" t="s">
        <v>16</v>
      </c>
      <c r="F26" s="20">
        <v>3</v>
      </c>
      <c r="G26" s="20" t="s">
        <v>2</v>
      </c>
      <c r="H26" s="35">
        <f>IF(ISBLANK(METLTask1[[#This Row],[CDR''s Weight]]),"",VLOOKUP(METLTask1[[#This Row],[Commander''s Assessment]],Table216[],2,FALSE)*(1-(METLTask1[CDR''s Weight]-1)*(100/MAX(METLTask1[CDR''s Weight])/100)))</f>
        <v>0.4</v>
      </c>
      <c r="I26" s="23"/>
      <c r="J26" s="24">
        <f>IF(ISNUMBER(SEARCH("→",METLTask1[[#This Row],[This is a test]])),"",IF(G26=$A$5,$B$5*METLTask1[[#This Row],[CDR''s Weight]],IF(G26=$A$6,$B$6*METLTask1[[#This Row],[CDR''s Weight]],IF(G26=$A$7,$B$7*METLTask1[[#This Row],[CDR''s Weight]]))))</f>
        <v>1.5</v>
      </c>
      <c r="K26" s="25" t="str">
        <f>IF(ISNUMBER(METLTask1[[#This Row],[Total]]),"",VLOOKUP(METLTask1[[#This Row],[Commander''s Assessment]],Table216[],2,FALSE)*(1-(($I$27:$I$36-1)*(100/MAX($I$27:$I$36)/100))))</f>
        <v/>
      </c>
      <c r="L26" s="26">
        <f>SUM(I27:I36)</f>
        <v>55</v>
      </c>
      <c r="M26" s="25">
        <f>SUM(K27:K36)*10</f>
        <v>37.61</v>
      </c>
      <c r="N26" s="25">
        <f>METLTask1[[#This Row],[New SB Total]]/METLTask1[[#This Row],[New SB Weight]]</f>
        <v>0.68381818181818177</v>
      </c>
      <c r="O26" s="2" t="str">
        <f>IF(ISBLANK(METLTask1[[#This Row],[calc]]),"",IF(METLTask1[[#This Row],[calc]]&gt;=0.66,$A$5,IF(AND(METLTask1[[#This Row],[calc]]&lt;0.66,METLTask1[[#This Row],[calc]]&gt;=0.33),$A$6,IF(METLTask1[[#This Row],[calc]]&lt;0.33,"U"))))</f>
        <v>T</v>
      </c>
      <c r="P26" s="44"/>
    </row>
    <row r="27" spans="2:16" hidden="1" outlineLevel="1" x14ac:dyDescent="0.3">
      <c r="E27" s="27" t="s">
        <v>33</v>
      </c>
      <c r="F27" s="33"/>
      <c r="G27" s="20" t="s">
        <v>2</v>
      </c>
      <c r="H27" s="35" t="str">
        <f>IF(ISBLANK(METLTask1[[#This Row],[CDR''s Weight]]),"",VLOOKUP(METLTask1[[#This Row],[Commander''s Assessment]],Table216[],2,FALSE)*(1-(METLTask1[CDR''s Weight]-1)*(100/MAX(METLTask1[CDR''s Weight])/100)))</f>
        <v/>
      </c>
      <c r="I27" s="28">
        <v>2</v>
      </c>
      <c r="J27" s="24" t="str">
        <f>IF(ISNUMBER(SEARCH("→",METLTask1[[#This Row],[This is a test]])),"",IF(G27=$A$5,$B$5*METLTask1[[#This Row],[CDR''s Weight]],IF(G27=$A$6,$B$6*METLTask1[[#This Row],[CDR''s Weight]],IF(G27=$A$7,$B$7*METLTask1[[#This Row],[CDR''s Weight]]))))</f>
        <v/>
      </c>
      <c r="K27" s="25">
        <f>VLOOKUP(METLTask1[[#This Row],[Commander''s Assessment]],Table216[],2,FALSE)*(1-(($I$27:$I$36-1)*(100/MAX($I$27:$I$36)/100)))</f>
        <v>0.45</v>
      </c>
      <c r="L27" s="26"/>
      <c r="M27" s="25"/>
      <c r="N27" s="25"/>
      <c r="O27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27" s="44"/>
    </row>
    <row r="28" spans="2:16" hidden="1" outlineLevel="1" x14ac:dyDescent="0.3">
      <c r="E28" s="27" t="s">
        <v>24</v>
      </c>
      <c r="F28" s="33"/>
      <c r="G28" s="20" t="s">
        <v>1</v>
      </c>
      <c r="H28" s="35" t="str">
        <f>IF(ISBLANK(METLTask1[[#This Row],[CDR''s Weight]]),"",VLOOKUP(METLTask1[[#This Row],[Commander''s Assessment]],Table216[],2,FALSE)*(1-(METLTask1[CDR''s Weight]-1)*(100/MAX(METLTask1[CDR''s Weight])/100)))</f>
        <v/>
      </c>
      <c r="I28" s="28">
        <v>3</v>
      </c>
      <c r="J28" s="24" t="str">
        <f>IF(ISNUMBER(SEARCH("→",METLTask1[[#This Row],[This is a test]])),"",IF(G28=$A$5,$B$5*METLTask1[[#This Row],[CDR''s Weight]],IF(G28=$A$6,$B$6*METLTask1[[#This Row],[CDR''s Weight]],IF(G28=$A$7,$B$7*METLTask1[[#This Row],[CDR''s Weight]]))))</f>
        <v/>
      </c>
      <c r="K28" s="25">
        <f>VLOOKUP(METLTask1[[#This Row],[Commander''s Assessment]],Table216[],2,FALSE)*(1-(($I$27:$I$36-1)*(100/MAX($I$27:$I$36)/100)))</f>
        <v>0.8</v>
      </c>
      <c r="L28" s="26"/>
      <c r="M28" s="25"/>
      <c r="N28" s="25"/>
      <c r="O28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28" s="44"/>
    </row>
    <row r="29" spans="2:16" hidden="1" outlineLevel="1" x14ac:dyDescent="0.3">
      <c r="E29" s="27" t="s">
        <v>24</v>
      </c>
      <c r="F29" s="31"/>
      <c r="G29" s="20" t="s">
        <v>1</v>
      </c>
      <c r="H29" s="35" t="str">
        <f>IF(ISBLANK(METLTask1[[#This Row],[CDR''s Weight]]),"",VLOOKUP(METLTask1[[#This Row],[Commander''s Assessment]],Table216[],2,FALSE)*(1-(METLTask1[CDR''s Weight]-1)*(100/MAX(METLTask1[CDR''s Weight])/100)))</f>
        <v/>
      </c>
      <c r="I29" s="28">
        <v>4</v>
      </c>
      <c r="J29" s="24" t="str">
        <f>IF(ISNUMBER(SEARCH("→",METLTask1[[#This Row],[This is a test]])),"",IF(G29=$A$5,$B$5*METLTask1[[#This Row],[CDR''s Weight]],IF(G29=$A$6,$B$6*METLTask1[[#This Row],[CDR''s Weight]],IF(G29=$A$7,$B$7*METLTask1[[#This Row],[CDR''s Weight]]))))</f>
        <v/>
      </c>
      <c r="K29" s="25">
        <f>VLOOKUP(METLTask1[[#This Row],[Commander''s Assessment]],Table216[],2,FALSE)*(1-(($I$27:$I$36-1)*(100/MAX($I$27:$I$36)/100)))</f>
        <v>0.7</v>
      </c>
      <c r="L29" s="26"/>
      <c r="M29" s="25"/>
      <c r="N29" s="25"/>
      <c r="O29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29" s="44"/>
    </row>
    <row r="30" spans="2:16" hidden="1" outlineLevel="1" x14ac:dyDescent="0.3">
      <c r="E30" s="27" t="s">
        <v>24</v>
      </c>
      <c r="F30" s="33"/>
      <c r="G30" s="20" t="s">
        <v>1</v>
      </c>
      <c r="H30" s="35" t="str">
        <f>IF(ISBLANK(METLTask1[[#This Row],[CDR''s Weight]]),"",VLOOKUP(METLTask1[[#This Row],[Commander''s Assessment]],Table216[],2,FALSE)*(1-(METLTask1[CDR''s Weight]-1)*(100/MAX(METLTask1[CDR''s Weight])/100)))</f>
        <v/>
      </c>
      <c r="I30" s="28">
        <v>5</v>
      </c>
      <c r="J30" s="24" t="str">
        <f>IF(ISNUMBER(SEARCH("→",METLTask1[[#This Row],[This is a test]])),"",IF(G30=$A$5,$B$5*METLTask1[[#This Row],[CDR''s Weight]],IF(G30=$A$6,$B$6*METLTask1[[#This Row],[CDR''s Weight]],IF(G30=$A$7,$B$7*METLTask1[[#This Row],[CDR''s Weight]]))))</f>
        <v/>
      </c>
      <c r="K30" s="25">
        <f>VLOOKUP(METLTask1[[#This Row],[Commander''s Assessment]],Table216[],2,FALSE)*(1-(($I$27:$I$36-1)*(100/MAX($I$27:$I$36)/100)))</f>
        <v>0.6</v>
      </c>
      <c r="L30" s="26"/>
      <c r="M30" s="25"/>
      <c r="N30" s="25"/>
      <c r="O30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30" s="44"/>
    </row>
    <row r="31" spans="2:16" hidden="1" outlineLevel="1" x14ac:dyDescent="0.3">
      <c r="E31" s="27" t="s">
        <v>24</v>
      </c>
      <c r="F31" s="33"/>
      <c r="G31" s="20" t="s">
        <v>1</v>
      </c>
      <c r="H31" s="35" t="str">
        <f>IF(ISBLANK(METLTask1[[#This Row],[CDR''s Weight]]),"",VLOOKUP(METLTask1[[#This Row],[Commander''s Assessment]],Table216[],2,FALSE)*(1-(METLTask1[CDR''s Weight]-1)*(100/MAX(METLTask1[CDR''s Weight])/100)))</f>
        <v/>
      </c>
      <c r="I31" s="28">
        <v>6</v>
      </c>
      <c r="J31" s="24" t="str">
        <f>IF(ISNUMBER(SEARCH("→",METLTask1[[#This Row],[This is a test]])),"",IF(G31=$A$5,$B$5*METLTask1[[#This Row],[CDR''s Weight]],IF(G31=$A$6,$B$6*METLTask1[[#This Row],[CDR''s Weight]],IF(G31=$A$7,$B$7*METLTask1[[#This Row],[CDR''s Weight]]))))</f>
        <v/>
      </c>
      <c r="K31" s="25">
        <f>VLOOKUP(METLTask1[[#This Row],[Commander''s Assessment]],Table216[],2,FALSE)*(1-(($I$27:$I$36-1)*(100/MAX($I$27:$I$36)/100)))</f>
        <v>0.5</v>
      </c>
      <c r="L31" s="26"/>
      <c r="M31" s="25"/>
      <c r="N31" s="25"/>
      <c r="O31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31" s="44"/>
    </row>
    <row r="32" spans="2:16" hidden="1" outlineLevel="1" x14ac:dyDescent="0.3">
      <c r="E32" s="27" t="s">
        <v>24</v>
      </c>
      <c r="F32" s="33"/>
      <c r="G32" s="20" t="s">
        <v>2</v>
      </c>
      <c r="H32" s="35" t="str">
        <f>IF(ISBLANK(METLTask1[[#This Row],[CDR''s Weight]]),"",VLOOKUP(METLTask1[[#This Row],[Commander''s Assessment]],Table216[],2,FALSE)*(1-(METLTask1[CDR''s Weight]-1)*(100/MAX(METLTask1[CDR''s Weight])/100)))</f>
        <v/>
      </c>
      <c r="I32" s="28">
        <v>7</v>
      </c>
      <c r="J32" s="24" t="str">
        <f>IF(ISNUMBER(SEARCH("→",METLTask1[[#This Row],[This is a test]])),"",IF(G32=$A$5,$B$5*METLTask1[[#This Row],[CDR''s Weight]],IF(G32=$A$6,$B$6*METLTask1[[#This Row],[CDR''s Weight]],IF(G32=$A$7,$B$7*METLTask1[[#This Row],[CDR''s Weight]]))))</f>
        <v/>
      </c>
      <c r="K32" s="25">
        <f>VLOOKUP(METLTask1[[#This Row],[Commander''s Assessment]],Table216[],2,FALSE)*(1-(($I$27:$I$36-1)*(100/MAX($I$27:$I$36)/100)))</f>
        <v>0.19999999999999996</v>
      </c>
      <c r="L32" s="26"/>
      <c r="M32" s="25"/>
      <c r="N32" s="25"/>
      <c r="O32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32" s="44"/>
    </row>
    <row r="33" spans="5:16" hidden="1" outlineLevel="1" x14ac:dyDescent="0.3">
      <c r="E33" s="27" t="s">
        <v>24</v>
      </c>
      <c r="F33" s="33"/>
      <c r="G33" s="20" t="s">
        <v>1</v>
      </c>
      <c r="H33" s="35" t="str">
        <f>IF(ISBLANK(METLTask1[[#This Row],[CDR''s Weight]]),"",VLOOKUP(METLTask1[[#This Row],[Commander''s Assessment]],Table216[],2,FALSE)*(1-(METLTask1[CDR''s Weight]-1)*(100/MAX(METLTask1[CDR''s Weight])/100)))</f>
        <v/>
      </c>
      <c r="I33" s="28">
        <v>8</v>
      </c>
      <c r="J33" s="24" t="str">
        <f>IF(ISNUMBER(SEARCH("→",METLTask1[[#This Row],[This is a test]])),"",IF(G33=$A$5,$B$5*METLTask1[[#This Row],[CDR''s Weight]],IF(G33=$A$6,$B$6*METLTask1[[#This Row],[CDR''s Weight]],IF(G33=$A$7,$B$7*METLTask1[[#This Row],[CDR''s Weight]]))))</f>
        <v/>
      </c>
      <c r="K33" s="25">
        <f>VLOOKUP(METLTask1[[#This Row],[Commander''s Assessment]],Table216[],2,FALSE)*(1-(($I$27:$I$36-1)*(100/MAX($I$27:$I$36)/100)))</f>
        <v>0.29999999999999993</v>
      </c>
      <c r="L33" s="26"/>
      <c r="M33" s="25"/>
      <c r="N33" s="25"/>
      <c r="O33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33" s="44"/>
    </row>
    <row r="34" spans="5:16" hidden="1" outlineLevel="1" x14ac:dyDescent="0.3">
      <c r="E34" s="27" t="s">
        <v>24</v>
      </c>
      <c r="F34" s="33"/>
      <c r="G34" s="20" t="s">
        <v>1</v>
      </c>
      <c r="H34" s="35" t="str">
        <f>IF(ISBLANK(METLTask1[[#This Row],[CDR''s Weight]]),"",VLOOKUP(METLTask1[[#This Row],[Commander''s Assessment]],Table216[],2,FALSE)*(1-(METLTask1[CDR''s Weight]-1)*(100/MAX(METLTask1[CDR''s Weight])/100)))</f>
        <v/>
      </c>
      <c r="I34" s="28">
        <v>9</v>
      </c>
      <c r="J34" s="24" t="str">
        <f>IF(ISNUMBER(SEARCH("→",METLTask1[[#This Row],[This is a test]])),"",IF(G34=$A$5,$B$5*METLTask1[[#This Row],[CDR''s Weight]],IF(G34=$A$6,$B$6*METLTask1[[#This Row],[CDR''s Weight]],IF(G34=$A$7,$B$7*METLTask1[[#This Row],[CDR''s Weight]]))))</f>
        <v/>
      </c>
      <c r="K34" s="25">
        <f>VLOOKUP(METLTask1[[#This Row],[Commander''s Assessment]],Table216[],2,FALSE)*(1-(($I$27:$I$36-1)*(100/MAX($I$27:$I$36)/100)))</f>
        <v>0.19999999999999996</v>
      </c>
      <c r="L34" s="26"/>
      <c r="M34" s="25"/>
      <c r="N34" s="25"/>
      <c r="O34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34" s="44"/>
    </row>
    <row r="35" spans="5:16" hidden="1" outlineLevel="1" x14ac:dyDescent="0.3">
      <c r="E35" s="27" t="s">
        <v>24</v>
      </c>
      <c r="F35" s="33"/>
      <c r="G35" s="20" t="s">
        <v>3</v>
      </c>
      <c r="H35" s="35" t="str">
        <f>IF(ISBLANK(METLTask1[[#This Row],[CDR''s Weight]]),"",VLOOKUP(METLTask1[[#This Row],[Commander''s Assessment]],Table216[],2,FALSE)*(1-(METLTask1[CDR''s Weight]-1)*(100/MAX(METLTask1[CDR''s Weight])/100)))</f>
        <v/>
      </c>
      <c r="I35" s="28">
        <v>10</v>
      </c>
      <c r="J35" s="24" t="str">
        <f>IF(ISNUMBER(SEARCH("→",METLTask1[[#This Row],[This is a test]])),"",IF(G35=$A$5,$B$5*METLTask1[[#This Row],[CDR''s Weight]],IF(G35=$A$6,$B$6*METLTask1[[#This Row],[CDR''s Weight]],IF(G35=$A$7,$B$7*METLTask1[[#This Row],[CDR''s Weight]]))))</f>
        <v/>
      </c>
      <c r="K35" s="25">
        <f>VLOOKUP(METLTask1[[#This Row],[Commander''s Assessment]],Table216[],2,FALSE)*(1-(($I$27:$I$36-1)*(100/MAX($I$27:$I$36)/100)))</f>
        <v>9.999999999999998E-4</v>
      </c>
      <c r="L35" s="26"/>
      <c r="M35" s="25"/>
      <c r="N35" s="25"/>
      <c r="O35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35" s="44"/>
    </row>
    <row r="36" spans="5:16" hidden="1" outlineLevel="1" x14ac:dyDescent="0.3">
      <c r="E36" s="27" t="s">
        <v>24</v>
      </c>
      <c r="F36" s="31"/>
      <c r="G36" s="20" t="s">
        <v>3</v>
      </c>
      <c r="H36" s="35" t="str">
        <f>IF(ISBLANK(METLTask1[[#This Row],[CDR''s Weight]]),"",VLOOKUP(METLTask1[[#This Row],[Commander''s Assessment]],Table216[],2,FALSE)*(1-(METLTask1[CDR''s Weight]-1)*(100/MAX(METLTask1[CDR''s Weight])/100)))</f>
        <v/>
      </c>
      <c r="I36" s="29">
        <v>1</v>
      </c>
      <c r="J36" s="24" t="str">
        <f>IF(ISNUMBER(SEARCH("→",METLTask1[[#This Row],[This is a test]])),"",IF(G36=$A$5,$B$5*METLTask1[[#This Row],[CDR''s Weight]],IF(G36=$A$6,$B$6*METLTask1[[#This Row],[CDR''s Weight]],IF(G36=$A$7,$B$7*METLTask1[[#This Row],[CDR''s Weight]]))))</f>
        <v/>
      </c>
      <c r="K36" s="25">
        <f>VLOOKUP(METLTask1[[#This Row],[Commander''s Assessment]],Table216[],2,FALSE)*(1-(($I$27:$I$36-1)*(100/MAX($I$27:$I$36)/100)))</f>
        <v>0.01</v>
      </c>
      <c r="L36" s="26"/>
      <c r="M36" s="21"/>
      <c r="N36" s="21"/>
      <c r="O36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36" s="44"/>
    </row>
    <row r="37" spans="5:16" collapsed="1" x14ac:dyDescent="0.3">
      <c r="E37" s="22" t="s">
        <v>16</v>
      </c>
      <c r="F37" s="20">
        <v>4</v>
      </c>
      <c r="G37" s="20" t="s">
        <v>3</v>
      </c>
      <c r="H37" s="35">
        <f>IF(ISBLANK(METLTask1[[#This Row],[CDR''s Weight]]),"",VLOOKUP(METLTask1[[#This Row],[Commander''s Assessment]],Table216[],2,FALSE)*(1-(METLTask1[CDR''s Weight]-1)*(100/MAX(METLTask1[CDR''s Weight])/100)))</f>
        <v>6.9999999999999993E-3</v>
      </c>
      <c r="I37" s="23"/>
      <c r="J37" s="24">
        <f>IF(ISNUMBER(SEARCH("→",METLTask1[[#This Row],[This is a test]])),"",IF(G37=$A$5,$B$5*METLTask1[[#This Row],[CDR''s Weight]],IF(G37=$A$6,$B$6*METLTask1[[#This Row],[CDR''s Weight]],IF(G37=$A$7,$B$7*METLTask1[[#This Row],[CDR''s Weight]]))))</f>
        <v>0.04</v>
      </c>
      <c r="K37" s="25" t="str">
        <f>IF(ISNUMBER(METLTask1[[#This Row],[Total]]),"",VLOOKUP(METLTask1[[#This Row],[Commander''s Assessment]],Table216[],2,FALSE)*(1-(($I$38:$I$47-1)*(100/MAX($I$38:$I$47)/100))))</f>
        <v/>
      </c>
      <c r="L37" s="26">
        <f>SUM(I38:I47)</f>
        <v>55</v>
      </c>
      <c r="M37" s="25">
        <f>SUM(K38:K47)*10</f>
        <v>37.61</v>
      </c>
      <c r="N37" s="25">
        <f>METLTask1[[#This Row],[New SB Total]]/METLTask1[[#This Row],[New SB Weight]]</f>
        <v>0.68381818181818177</v>
      </c>
      <c r="O37" s="2" t="str">
        <f>IF(ISBLANK(METLTask1[[#This Row],[calc]]),"",IF(METLTask1[[#This Row],[calc]]&gt;=0.66,$A$5,IF(AND(METLTask1[[#This Row],[calc]]&lt;0.66,METLTask1[[#This Row],[calc]]&gt;=0.33),$A$6,IF(METLTask1[[#This Row],[calc]]&lt;0.33,"U"))))</f>
        <v>T</v>
      </c>
      <c r="P37" s="44"/>
    </row>
    <row r="38" spans="5:16" hidden="1" outlineLevel="1" x14ac:dyDescent="0.3">
      <c r="E38" s="27" t="s">
        <v>33</v>
      </c>
      <c r="F38" s="33"/>
      <c r="G38" s="20" t="s">
        <v>2</v>
      </c>
      <c r="H38" s="35" t="str">
        <f>IF(ISBLANK(METLTask1[[#This Row],[CDR''s Weight]]),"",VLOOKUP(METLTask1[[#This Row],[Commander''s Assessment]],Table216[],2,FALSE)*(1-(METLTask1[CDR''s Weight]-1)*(100/MAX(METLTask1[CDR''s Weight])/100)))</f>
        <v/>
      </c>
      <c r="I38" s="28">
        <v>2</v>
      </c>
      <c r="J38" s="24" t="str">
        <f>IF(ISNUMBER(SEARCH("→",METLTask1[[#This Row],[This is a test]])),"",IF(G38=$A$5,$B$5*METLTask1[[#This Row],[CDR''s Weight]],IF(G38=$A$6,$B$6*METLTask1[[#This Row],[CDR''s Weight]],IF(G38=$A$7,$B$7*METLTask1[[#This Row],[CDR''s Weight]]))))</f>
        <v/>
      </c>
      <c r="K38" s="25">
        <f>VLOOKUP(METLTask1[[#This Row],[Commander''s Assessment]],Table216[],2,FALSE)*(1-(($I$38:$I$47-1)*(100/MAX($I$38:$I$47)/100)))</f>
        <v>0.45</v>
      </c>
      <c r="L38" s="26"/>
      <c r="M38" s="25"/>
      <c r="N38" s="25"/>
      <c r="O38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38" s="44"/>
    </row>
    <row r="39" spans="5:16" hidden="1" outlineLevel="1" x14ac:dyDescent="0.3">
      <c r="E39" s="27" t="s">
        <v>24</v>
      </c>
      <c r="F39" s="33"/>
      <c r="G39" s="20" t="s">
        <v>1</v>
      </c>
      <c r="H39" s="35" t="str">
        <f>IF(ISBLANK(METLTask1[[#This Row],[CDR''s Weight]]),"",VLOOKUP(METLTask1[[#This Row],[Commander''s Assessment]],Table216[],2,FALSE)*(1-(METLTask1[CDR''s Weight]-1)*(100/MAX(METLTask1[CDR''s Weight])/100)))</f>
        <v/>
      </c>
      <c r="I39" s="28">
        <v>3</v>
      </c>
      <c r="J39" s="24" t="str">
        <f>IF(ISNUMBER(SEARCH("→",METLTask1[[#This Row],[This is a test]])),"",IF(G39=$A$5,$B$5*METLTask1[[#This Row],[CDR''s Weight]],IF(G39=$A$6,$B$6*METLTask1[[#This Row],[CDR''s Weight]],IF(G39=$A$7,$B$7*METLTask1[[#This Row],[CDR''s Weight]]))))</f>
        <v/>
      </c>
      <c r="K39" s="25">
        <f>VLOOKUP(METLTask1[[#This Row],[Commander''s Assessment]],Table216[],2,FALSE)*(1-(($I$38:$I$47-1)*(100/MAX($I$38:$I$47)/100)))</f>
        <v>0.8</v>
      </c>
      <c r="L39" s="26"/>
      <c r="M39" s="25"/>
      <c r="N39" s="25"/>
      <c r="O39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39" s="44"/>
    </row>
    <row r="40" spans="5:16" hidden="1" outlineLevel="1" x14ac:dyDescent="0.3">
      <c r="E40" s="27" t="s">
        <v>24</v>
      </c>
      <c r="F40" s="31"/>
      <c r="G40" s="20" t="s">
        <v>1</v>
      </c>
      <c r="H40" s="35" t="str">
        <f>IF(ISBLANK(METLTask1[[#This Row],[CDR''s Weight]]),"",VLOOKUP(METLTask1[[#This Row],[Commander''s Assessment]],Table216[],2,FALSE)*(1-(METLTask1[CDR''s Weight]-1)*(100/MAX(METLTask1[CDR''s Weight])/100)))</f>
        <v/>
      </c>
      <c r="I40" s="28">
        <v>4</v>
      </c>
      <c r="J40" s="24" t="str">
        <f>IF(ISNUMBER(SEARCH("→",METLTask1[[#This Row],[This is a test]])),"",IF(G40=$A$5,$B$5*METLTask1[[#This Row],[CDR''s Weight]],IF(G40=$A$6,$B$6*METLTask1[[#This Row],[CDR''s Weight]],IF(G40=$A$7,$B$7*METLTask1[[#This Row],[CDR''s Weight]]))))</f>
        <v/>
      </c>
      <c r="K40" s="25">
        <f>VLOOKUP(METLTask1[[#This Row],[Commander''s Assessment]],Table216[],2,FALSE)*(1-(($I$38:$I$47-1)*(100/MAX($I$38:$I$47)/100)))</f>
        <v>0.7</v>
      </c>
      <c r="L40" s="26"/>
      <c r="M40" s="25"/>
      <c r="N40" s="25"/>
      <c r="O40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40" s="44"/>
    </row>
    <row r="41" spans="5:16" hidden="1" outlineLevel="1" x14ac:dyDescent="0.3">
      <c r="E41" s="27" t="s">
        <v>24</v>
      </c>
      <c r="F41" s="33"/>
      <c r="G41" s="20" t="s">
        <v>1</v>
      </c>
      <c r="H41" s="35" t="str">
        <f>IF(ISBLANK(METLTask1[[#This Row],[CDR''s Weight]]),"",VLOOKUP(METLTask1[[#This Row],[Commander''s Assessment]],Table216[],2,FALSE)*(1-(METLTask1[CDR''s Weight]-1)*(100/MAX(METLTask1[CDR''s Weight])/100)))</f>
        <v/>
      </c>
      <c r="I41" s="28">
        <v>5</v>
      </c>
      <c r="J41" s="24" t="str">
        <f>IF(ISNUMBER(SEARCH("→",METLTask1[[#This Row],[This is a test]])),"",IF(G41=$A$5,$B$5*METLTask1[[#This Row],[CDR''s Weight]],IF(G41=$A$6,$B$6*METLTask1[[#This Row],[CDR''s Weight]],IF(G41=$A$7,$B$7*METLTask1[[#This Row],[CDR''s Weight]]))))</f>
        <v/>
      </c>
      <c r="K41" s="25">
        <f>VLOOKUP(METLTask1[[#This Row],[Commander''s Assessment]],Table216[],2,FALSE)*(1-(($I$38:$I$47-1)*(100/MAX($I$38:$I$47)/100)))</f>
        <v>0.6</v>
      </c>
      <c r="L41" s="26"/>
      <c r="M41" s="25"/>
      <c r="N41" s="25"/>
      <c r="O41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41" s="44"/>
    </row>
    <row r="42" spans="5:16" hidden="1" outlineLevel="1" x14ac:dyDescent="0.3">
      <c r="E42" s="27" t="s">
        <v>24</v>
      </c>
      <c r="F42" s="33"/>
      <c r="G42" s="20" t="s">
        <v>1</v>
      </c>
      <c r="H42" s="35" t="str">
        <f>IF(ISBLANK(METLTask1[[#This Row],[CDR''s Weight]]),"",VLOOKUP(METLTask1[[#This Row],[Commander''s Assessment]],Table216[],2,FALSE)*(1-(METLTask1[CDR''s Weight]-1)*(100/MAX(METLTask1[CDR''s Weight])/100)))</f>
        <v/>
      </c>
      <c r="I42" s="28">
        <v>6</v>
      </c>
      <c r="J42" s="24" t="str">
        <f>IF(ISNUMBER(SEARCH("→",METLTask1[[#This Row],[This is a test]])),"",IF(G42=$A$5,$B$5*METLTask1[[#This Row],[CDR''s Weight]],IF(G42=$A$6,$B$6*METLTask1[[#This Row],[CDR''s Weight]],IF(G42=$A$7,$B$7*METLTask1[[#This Row],[CDR''s Weight]]))))</f>
        <v/>
      </c>
      <c r="K42" s="25">
        <f>VLOOKUP(METLTask1[[#This Row],[Commander''s Assessment]],Table216[],2,FALSE)*(1-(($I$38:$I$47-1)*(100/MAX($I$38:$I$47)/100)))</f>
        <v>0.5</v>
      </c>
      <c r="L42" s="26"/>
      <c r="M42" s="25"/>
      <c r="N42" s="25"/>
      <c r="O42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42" s="44"/>
    </row>
    <row r="43" spans="5:16" hidden="1" outlineLevel="1" x14ac:dyDescent="0.3">
      <c r="E43" s="27" t="s">
        <v>24</v>
      </c>
      <c r="F43" s="33"/>
      <c r="G43" s="20" t="s">
        <v>2</v>
      </c>
      <c r="H43" s="35" t="str">
        <f>IF(ISBLANK(METLTask1[[#This Row],[CDR''s Weight]]),"",VLOOKUP(METLTask1[[#This Row],[Commander''s Assessment]],Table216[],2,FALSE)*(1-(METLTask1[CDR''s Weight]-1)*(100/MAX(METLTask1[CDR''s Weight])/100)))</f>
        <v/>
      </c>
      <c r="I43" s="28">
        <v>7</v>
      </c>
      <c r="J43" s="24" t="str">
        <f>IF(ISNUMBER(SEARCH("→",METLTask1[[#This Row],[This is a test]])),"",IF(G43=$A$5,$B$5*METLTask1[[#This Row],[CDR''s Weight]],IF(G43=$A$6,$B$6*METLTask1[[#This Row],[CDR''s Weight]],IF(G43=$A$7,$B$7*METLTask1[[#This Row],[CDR''s Weight]]))))</f>
        <v/>
      </c>
      <c r="K43" s="25">
        <f>VLOOKUP(METLTask1[[#This Row],[Commander''s Assessment]],Table216[],2,FALSE)*(1-(($I$38:$I$47-1)*(100/MAX($I$38:$I$47)/100)))</f>
        <v>0.19999999999999996</v>
      </c>
      <c r="L43" s="26"/>
      <c r="M43" s="25"/>
      <c r="N43" s="25"/>
      <c r="O43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43" s="44"/>
    </row>
    <row r="44" spans="5:16" hidden="1" outlineLevel="1" x14ac:dyDescent="0.3">
      <c r="E44" s="27" t="s">
        <v>24</v>
      </c>
      <c r="F44" s="33"/>
      <c r="G44" s="20" t="s">
        <v>1</v>
      </c>
      <c r="H44" s="35" t="str">
        <f>IF(ISBLANK(METLTask1[[#This Row],[CDR''s Weight]]),"",VLOOKUP(METLTask1[[#This Row],[Commander''s Assessment]],Table216[],2,FALSE)*(1-(METLTask1[CDR''s Weight]-1)*(100/MAX(METLTask1[CDR''s Weight])/100)))</f>
        <v/>
      </c>
      <c r="I44" s="28">
        <v>8</v>
      </c>
      <c r="J44" s="24" t="str">
        <f>IF(ISNUMBER(SEARCH("→",METLTask1[[#This Row],[This is a test]])),"",IF(G44=$A$5,$B$5*METLTask1[[#This Row],[CDR''s Weight]],IF(G44=$A$6,$B$6*METLTask1[[#This Row],[CDR''s Weight]],IF(G44=$A$7,$B$7*METLTask1[[#This Row],[CDR''s Weight]]))))</f>
        <v/>
      </c>
      <c r="K44" s="25">
        <f>VLOOKUP(METLTask1[[#This Row],[Commander''s Assessment]],Table216[],2,FALSE)*(1-(($I$38:$I$47-1)*(100/MAX($I$38:$I$47)/100)))</f>
        <v>0.29999999999999993</v>
      </c>
      <c r="L44" s="26"/>
      <c r="M44" s="25"/>
      <c r="N44" s="25"/>
      <c r="O44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44" s="44"/>
    </row>
    <row r="45" spans="5:16" hidden="1" outlineLevel="1" x14ac:dyDescent="0.3">
      <c r="E45" s="27" t="s">
        <v>24</v>
      </c>
      <c r="F45" s="33"/>
      <c r="G45" s="20" t="s">
        <v>1</v>
      </c>
      <c r="H45" s="35" t="str">
        <f>IF(ISBLANK(METLTask1[[#This Row],[CDR''s Weight]]),"",VLOOKUP(METLTask1[[#This Row],[Commander''s Assessment]],Table216[],2,FALSE)*(1-(METLTask1[CDR''s Weight]-1)*(100/MAX(METLTask1[CDR''s Weight])/100)))</f>
        <v/>
      </c>
      <c r="I45" s="28">
        <v>9</v>
      </c>
      <c r="J45" s="24" t="str">
        <f>IF(ISNUMBER(SEARCH("→",METLTask1[[#This Row],[This is a test]])),"",IF(G45=$A$5,$B$5*METLTask1[[#This Row],[CDR''s Weight]],IF(G45=$A$6,$B$6*METLTask1[[#This Row],[CDR''s Weight]],IF(G45=$A$7,$B$7*METLTask1[[#This Row],[CDR''s Weight]]))))</f>
        <v/>
      </c>
      <c r="K45" s="25">
        <f>VLOOKUP(METLTask1[[#This Row],[Commander''s Assessment]],Table216[],2,FALSE)*(1-(($I$38:$I$47-1)*(100/MAX($I$38:$I$47)/100)))</f>
        <v>0.19999999999999996</v>
      </c>
      <c r="L45" s="26"/>
      <c r="M45" s="25"/>
      <c r="N45" s="25"/>
      <c r="O45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45" s="44"/>
    </row>
    <row r="46" spans="5:16" hidden="1" outlineLevel="1" x14ac:dyDescent="0.3">
      <c r="E46" s="27" t="s">
        <v>24</v>
      </c>
      <c r="F46" s="33"/>
      <c r="G46" s="20" t="s">
        <v>3</v>
      </c>
      <c r="H46" s="35" t="str">
        <f>IF(ISBLANK(METLTask1[[#This Row],[CDR''s Weight]]),"",VLOOKUP(METLTask1[[#This Row],[Commander''s Assessment]],Table216[],2,FALSE)*(1-(METLTask1[CDR''s Weight]-1)*(100/MAX(METLTask1[CDR''s Weight])/100)))</f>
        <v/>
      </c>
      <c r="I46" s="28">
        <v>10</v>
      </c>
      <c r="J46" s="24" t="str">
        <f>IF(ISNUMBER(SEARCH("→",METLTask1[[#This Row],[This is a test]])),"",IF(G46=$A$5,$B$5*METLTask1[[#This Row],[CDR''s Weight]],IF(G46=$A$6,$B$6*METLTask1[[#This Row],[CDR''s Weight]],IF(G46=$A$7,$B$7*METLTask1[[#This Row],[CDR''s Weight]]))))</f>
        <v/>
      </c>
      <c r="K46" s="25">
        <f>VLOOKUP(METLTask1[[#This Row],[Commander''s Assessment]],Table216[],2,FALSE)*(1-(($I$38:$I$47-1)*(100/MAX($I$38:$I$47)/100)))</f>
        <v>9.999999999999998E-4</v>
      </c>
      <c r="L46" s="26"/>
      <c r="M46" s="25"/>
      <c r="N46" s="25"/>
      <c r="O46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46" s="44"/>
    </row>
    <row r="47" spans="5:16" hidden="1" outlineLevel="1" x14ac:dyDescent="0.3">
      <c r="E47" s="27" t="s">
        <v>24</v>
      </c>
      <c r="F47" s="31"/>
      <c r="G47" s="20" t="s">
        <v>3</v>
      </c>
      <c r="H47" s="35" t="str">
        <f>IF(ISBLANK(METLTask1[[#This Row],[CDR''s Weight]]),"",VLOOKUP(METLTask1[[#This Row],[Commander''s Assessment]],Table216[],2,FALSE)*(1-(METLTask1[CDR''s Weight]-1)*(100/MAX(METLTask1[CDR''s Weight])/100)))</f>
        <v/>
      </c>
      <c r="I47" s="29">
        <v>1</v>
      </c>
      <c r="J47" s="24" t="str">
        <f>IF(ISNUMBER(SEARCH("→",METLTask1[[#This Row],[This is a test]])),"",IF(G47=$A$5,$B$5*METLTask1[[#This Row],[CDR''s Weight]],IF(G47=$A$6,$B$6*METLTask1[[#This Row],[CDR''s Weight]],IF(G47=$A$7,$B$7*METLTask1[[#This Row],[CDR''s Weight]]))))</f>
        <v/>
      </c>
      <c r="K47" s="25">
        <f>VLOOKUP(METLTask1[[#This Row],[Commander''s Assessment]],Table216[],2,FALSE)*(1-(($I$38:$I$47-1)*(100/MAX($I$38:$I$47)/100)))</f>
        <v>0.01</v>
      </c>
      <c r="L47" s="26"/>
      <c r="M47" s="21"/>
      <c r="N47" s="21"/>
      <c r="O47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47" s="44"/>
    </row>
    <row r="48" spans="5:16" collapsed="1" x14ac:dyDescent="0.3">
      <c r="E48" s="22" t="s">
        <v>16</v>
      </c>
      <c r="F48" s="20">
        <v>5</v>
      </c>
      <c r="G48" s="20" t="s">
        <v>3</v>
      </c>
      <c r="H48" s="35">
        <f>IF(ISBLANK(METLTask1[[#This Row],[CDR''s Weight]]),"",VLOOKUP(METLTask1[[#This Row],[Commander''s Assessment]],Table216[],2,FALSE)*(1-(METLTask1[CDR''s Weight]-1)*(100/MAX(METLTask1[CDR''s Weight])/100)))</f>
        <v>6.0000000000000001E-3</v>
      </c>
      <c r="I48" s="23"/>
      <c r="J48" s="24">
        <f>IF(ISNUMBER(SEARCH("→",METLTask1[[#This Row],[This is a test]])),"",IF(G48=$A$5,$B$5*METLTask1[[#This Row],[CDR''s Weight]],IF(G48=$A$6,$B$6*METLTask1[[#This Row],[CDR''s Weight]],IF(G48=$A$7,$B$7*METLTask1[[#This Row],[CDR''s Weight]]))))</f>
        <v>0.05</v>
      </c>
      <c r="K48" s="25" t="str">
        <f>IF(ISNUMBER(METLTask1[[#This Row],[Total]]),"",VLOOKUP(METLTask1[[#This Row],[Commander''s Assessment]],Table216[],2,FALSE)*(1-(($I$49:$I$58-1)*(100/MAX($I$49:$I$58)/100))))</f>
        <v/>
      </c>
      <c r="L48" s="26">
        <f>SUM(I49:I58)</f>
        <v>55</v>
      </c>
      <c r="M48" s="25">
        <f>SUM(K49:K58)*10</f>
        <v>37.61</v>
      </c>
      <c r="N48" s="25">
        <f>METLTask1[[#This Row],[New SB Total]]/METLTask1[[#This Row],[New SB Weight]]</f>
        <v>0.68381818181818177</v>
      </c>
      <c r="O48" s="2" t="str">
        <f>IF(ISBLANK(METLTask1[[#This Row],[calc]]),"",IF(METLTask1[[#This Row],[calc]]&gt;=0.66,$A$5,IF(AND(METLTask1[[#This Row],[calc]]&lt;0.66,METLTask1[[#This Row],[calc]]&gt;=0.33),$A$6,IF(METLTask1[[#This Row],[calc]]&lt;0.33,"U"))))</f>
        <v>T</v>
      </c>
      <c r="P48" s="44"/>
    </row>
    <row r="49" spans="5:16" hidden="1" outlineLevel="1" x14ac:dyDescent="0.3">
      <c r="E49" s="27" t="s">
        <v>33</v>
      </c>
      <c r="F49" s="33"/>
      <c r="G49" s="20" t="s">
        <v>2</v>
      </c>
      <c r="H49" s="35" t="str">
        <f>IF(ISBLANK(METLTask1[[#This Row],[CDR''s Weight]]),"",VLOOKUP(METLTask1[[#This Row],[Commander''s Assessment]],Table216[],2,FALSE)*(1-(METLTask1[CDR''s Weight]-1)*(100/MAX(METLTask1[CDR''s Weight])/100)))</f>
        <v/>
      </c>
      <c r="I49" s="28">
        <v>2</v>
      </c>
      <c r="J49" s="24" t="str">
        <f>IF(ISNUMBER(SEARCH("→",METLTask1[[#This Row],[This is a test]])),"",IF(G49=$A$5,$B$5*METLTask1[[#This Row],[CDR''s Weight]],IF(G49=$A$6,$B$6*METLTask1[[#This Row],[CDR''s Weight]],IF(G49=$A$7,$B$7*METLTask1[[#This Row],[CDR''s Weight]]))))</f>
        <v/>
      </c>
      <c r="K49" s="25">
        <f>VLOOKUP(METLTask1[[#This Row],[Commander''s Assessment]],Table216[],2,FALSE)*(1-(($I$49:$I$58-1)*(100/MAX($I$49:$I$58)/100)))</f>
        <v>0.45</v>
      </c>
      <c r="L49" s="26"/>
      <c r="M49" s="25"/>
      <c r="N49" s="25"/>
      <c r="O49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49" s="44"/>
    </row>
    <row r="50" spans="5:16" hidden="1" outlineLevel="1" x14ac:dyDescent="0.3">
      <c r="E50" s="27" t="s">
        <v>24</v>
      </c>
      <c r="F50" s="33"/>
      <c r="G50" s="20" t="s">
        <v>1</v>
      </c>
      <c r="H50" s="35" t="str">
        <f>IF(ISBLANK(METLTask1[[#This Row],[CDR''s Weight]]),"",VLOOKUP(METLTask1[[#This Row],[Commander''s Assessment]],Table216[],2,FALSE)*(1-(METLTask1[CDR''s Weight]-1)*(100/MAX(METLTask1[CDR''s Weight])/100)))</f>
        <v/>
      </c>
      <c r="I50" s="28">
        <v>3</v>
      </c>
      <c r="J50" s="24" t="str">
        <f>IF(ISNUMBER(SEARCH("→",METLTask1[[#This Row],[This is a test]])),"",IF(G50=$A$5,$B$5*METLTask1[[#This Row],[CDR''s Weight]],IF(G50=$A$6,$B$6*METLTask1[[#This Row],[CDR''s Weight]],IF(G50=$A$7,$B$7*METLTask1[[#This Row],[CDR''s Weight]]))))</f>
        <v/>
      </c>
      <c r="K50" s="25">
        <f>VLOOKUP(METLTask1[[#This Row],[Commander''s Assessment]],Table216[],2,FALSE)*(1-(($I$49:$I$58-1)*(100/MAX($I$49:$I$58)/100)))</f>
        <v>0.8</v>
      </c>
      <c r="L50" s="26"/>
      <c r="M50" s="25"/>
      <c r="N50" s="25"/>
      <c r="O50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50" s="44"/>
    </row>
    <row r="51" spans="5:16" hidden="1" outlineLevel="1" x14ac:dyDescent="0.3">
      <c r="E51" s="27" t="s">
        <v>24</v>
      </c>
      <c r="F51" s="31"/>
      <c r="G51" s="20" t="s">
        <v>1</v>
      </c>
      <c r="H51" s="35" t="str">
        <f>IF(ISBLANK(METLTask1[[#This Row],[CDR''s Weight]]),"",VLOOKUP(METLTask1[[#This Row],[Commander''s Assessment]],Table216[],2,FALSE)*(1-(METLTask1[CDR''s Weight]-1)*(100/MAX(METLTask1[CDR''s Weight])/100)))</f>
        <v/>
      </c>
      <c r="I51" s="28">
        <v>4</v>
      </c>
      <c r="J51" s="24" t="str">
        <f>IF(ISNUMBER(SEARCH("→",METLTask1[[#This Row],[This is a test]])),"",IF(G51=$A$5,$B$5*METLTask1[[#This Row],[CDR''s Weight]],IF(G51=$A$6,$B$6*METLTask1[[#This Row],[CDR''s Weight]],IF(G51=$A$7,$B$7*METLTask1[[#This Row],[CDR''s Weight]]))))</f>
        <v/>
      </c>
      <c r="K51" s="25">
        <f>VLOOKUP(METLTask1[[#This Row],[Commander''s Assessment]],Table216[],2,FALSE)*(1-(($I$49:$I$58-1)*(100/MAX($I$49:$I$58)/100)))</f>
        <v>0.7</v>
      </c>
      <c r="L51" s="26"/>
      <c r="M51" s="25"/>
      <c r="N51" s="25"/>
      <c r="O51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51" s="44"/>
    </row>
    <row r="52" spans="5:16" hidden="1" outlineLevel="1" x14ac:dyDescent="0.3">
      <c r="E52" s="27" t="s">
        <v>24</v>
      </c>
      <c r="F52" s="33"/>
      <c r="G52" s="20" t="s">
        <v>1</v>
      </c>
      <c r="H52" s="35" t="str">
        <f>IF(ISBLANK(METLTask1[[#This Row],[CDR''s Weight]]),"",VLOOKUP(METLTask1[[#This Row],[Commander''s Assessment]],Table216[],2,FALSE)*(1-(METLTask1[CDR''s Weight]-1)*(100/MAX(METLTask1[CDR''s Weight])/100)))</f>
        <v/>
      </c>
      <c r="I52" s="28">
        <v>5</v>
      </c>
      <c r="J52" s="24" t="str">
        <f>IF(ISNUMBER(SEARCH("→",METLTask1[[#This Row],[This is a test]])),"",IF(G52=$A$5,$B$5*METLTask1[[#This Row],[CDR''s Weight]],IF(G52=$A$6,$B$6*METLTask1[[#This Row],[CDR''s Weight]],IF(G52=$A$7,$B$7*METLTask1[[#This Row],[CDR''s Weight]]))))</f>
        <v/>
      </c>
      <c r="K52" s="25">
        <f>VLOOKUP(METLTask1[[#This Row],[Commander''s Assessment]],Table216[],2,FALSE)*(1-(($I$49:$I$58-1)*(100/MAX($I$49:$I$58)/100)))</f>
        <v>0.6</v>
      </c>
      <c r="L52" s="26"/>
      <c r="M52" s="25"/>
      <c r="N52" s="25"/>
      <c r="O52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52" s="44"/>
    </row>
    <row r="53" spans="5:16" hidden="1" outlineLevel="1" x14ac:dyDescent="0.3">
      <c r="E53" s="27" t="s">
        <v>24</v>
      </c>
      <c r="F53" s="33"/>
      <c r="G53" s="20" t="s">
        <v>1</v>
      </c>
      <c r="H53" s="35" t="str">
        <f>IF(ISBLANK(METLTask1[[#This Row],[CDR''s Weight]]),"",VLOOKUP(METLTask1[[#This Row],[Commander''s Assessment]],Table216[],2,FALSE)*(1-(METLTask1[CDR''s Weight]-1)*(100/MAX(METLTask1[CDR''s Weight])/100)))</f>
        <v/>
      </c>
      <c r="I53" s="28">
        <v>6</v>
      </c>
      <c r="J53" s="24" t="str">
        <f>IF(ISNUMBER(SEARCH("→",METLTask1[[#This Row],[This is a test]])),"",IF(G53=$A$5,$B$5*METLTask1[[#This Row],[CDR''s Weight]],IF(G53=$A$6,$B$6*METLTask1[[#This Row],[CDR''s Weight]],IF(G53=$A$7,$B$7*METLTask1[[#This Row],[CDR''s Weight]]))))</f>
        <v/>
      </c>
      <c r="K53" s="25">
        <f>VLOOKUP(METLTask1[[#This Row],[Commander''s Assessment]],Table216[],2,FALSE)*(1-(($I$49:$I$58-1)*(100/MAX($I$49:$I$58)/100)))</f>
        <v>0.5</v>
      </c>
      <c r="L53" s="26"/>
      <c r="M53" s="25"/>
      <c r="N53" s="25"/>
      <c r="O53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53" s="44"/>
    </row>
    <row r="54" spans="5:16" hidden="1" outlineLevel="1" x14ac:dyDescent="0.3">
      <c r="E54" s="27" t="s">
        <v>24</v>
      </c>
      <c r="F54" s="33"/>
      <c r="G54" s="20" t="s">
        <v>2</v>
      </c>
      <c r="H54" s="35" t="str">
        <f>IF(ISBLANK(METLTask1[[#This Row],[CDR''s Weight]]),"",VLOOKUP(METLTask1[[#This Row],[Commander''s Assessment]],Table216[],2,FALSE)*(1-(METLTask1[CDR''s Weight]-1)*(100/MAX(METLTask1[CDR''s Weight])/100)))</f>
        <v/>
      </c>
      <c r="I54" s="28">
        <v>7</v>
      </c>
      <c r="J54" s="24" t="str">
        <f>IF(ISNUMBER(SEARCH("→",METLTask1[[#This Row],[This is a test]])),"",IF(G54=$A$5,$B$5*METLTask1[[#This Row],[CDR''s Weight]],IF(G54=$A$6,$B$6*METLTask1[[#This Row],[CDR''s Weight]],IF(G54=$A$7,$B$7*METLTask1[[#This Row],[CDR''s Weight]]))))</f>
        <v/>
      </c>
      <c r="K54" s="25">
        <f>VLOOKUP(METLTask1[[#This Row],[Commander''s Assessment]],Table216[],2,FALSE)*(1-(($I$49:$I$58-1)*(100/MAX($I$49:$I$58)/100)))</f>
        <v>0.19999999999999996</v>
      </c>
      <c r="L54" s="26"/>
      <c r="M54" s="25"/>
      <c r="N54" s="25"/>
      <c r="O54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54" s="44"/>
    </row>
    <row r="55" spans="5:16" hidden="1" outlineLevel="1" x14ac:dyDescent="0.3">
      <c r="E55" s="27" t="s">
        <v>24</v>
      </c>
      <c r="F55" s="33"/>
      <c r="G55" s="20" t="s">
        <v>1</v>
      </c>
      <c r="H55" s="35" t="str">
        <f>IF(ISBLANK(METLTask1[[#This Row],[CDR''s Weight]]),"",VLOOKUP(METLTask1[[#This Row],[Commander''s Assessment]],Table216[],2,FALSE)*(1-(METLTask1[CDR''s Weight]-1)*(100/MAX(METLTask1[CDR''s Weight])/100)))</f>
        <v/>
      </c>
      <c r="I55" s="28">
        <v>8</v>
      </c>
      <c r="J55" s="24" t="str">
        <f>IF(ISNUMBER(SEARCH("→",METLTask1[[#This Row],[This is a test]])),"",IF(G55=$A$5,$B$5*METLTask1[[#This Row],[CDR''s Weight]],IF(G55=$A$6,$B$6*METLTask1[[#This Row],[CDR''s Weight]],IF(G55=$A$7,$B$7*METLTask1[[#This Row],[CDR''s Weight]]))))</f>
        <v/>
      </c>
      <c r="K55" s="25">
        <f>VLOOKUP(METLTask1[[#This Row],[Commander''s Assessment]],Table216[],2,FALSE)*(1-(($I$49:$I$58-1)*(100/MAX($I$49:$I$58)/100)))</f>
        <v>0.29999999999999993</v>
      </c>
      <c r="L55" s="26"/>
      <c r="M55" s="25"/>
      <c r="N55" s="25"/>
      <c r="O55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55" s="44"/>
    </row>
    <row r="56" spans="5:16" hidden="1" outlineLevel="1" x14ac:dyDescent="0.3">
      <c r="E56" s="27" t="s">
        <v>24</v>
      </c>
      <c r="F56" s="33"/>
      <c r="G56" s="20" t="s">
        <v>1</v>
      </c>
      <c r="H56" s="35" t="str">
        <f>IF(ISBLANK(METLTask1[[#This Row],[CDR''s Weight]]),"",VLOOKUP(METLTask1[[#This Row],[Commander''s Assessment]],Table216[],2,FALSE)*(1-(METLTask1[CDR''s Weight]-1)*(100/MAX(METLTask1[CDR''s Weight])/100)))</f>
        <v/>
      </c>
      <c r="I56" s="28">
        <v>9</v>
      </c>
      <c r="J56" s="24" t="str">
        <f>IF(ISNUMBER(SEARCH("→",METLTask1[[#This Row],[This is a test]])),"",IF(G56=$A$5,$B$5*METLTask1[[#This Row],[CDR''s Weight]],IF(G56=$A$6,$B$6*METLTask1[[#This Row],[CDR''s Weight]],IF(G56=$A$7,$B$7*METLTask1[[#This Row],[CDR''s Weight]]))))</f>
        <v/>
      </c>
      <c r="K56" s="25">
        <f>VLOOKUP(METLTask1[[#This Row],[Commander''s Assessment]],Table216[],2,FALSE)*(1-(($I$49:$I$58-1)*(100/MAX($I$49:$I$58)/100)))</f>
        <v>0.19999999999999996</v>
      </c>
      <c r="L56" s="26"/>
      <c r="M56" s="25"/>
      <c r="N56" s="25"/>
      <c r="O56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56" s="44"/>
    </row>
    <row r="57" spans="5:16" hidden="1" outlineLevel="1" x14ac:dyDescent="0.3">
      <c r="E57" s="27" t="s">
        <v>24</v>
      </c>
      <c r="F57" s="33"/>
      <c r="G57" s="20" t="s">
        <v>3</v>
      </c>
      <c r="H57" s="35" t="str">
        <f>IF(ISBLANK(METLTask1[[#This Row],[CDR''s Weight]]),"",VLOOKUP(METLTask1[[#This Row],[Commander''s Assessment]],Table216[],2,FALSE)*(1-(METLTask1[CDR''s Weight]-1)*(100/MAX(METLTask1[CDR''s Weight])/100)))</f>
        <v/>
      </c>
      <c r="I57" s="28">
        <v>10</v>
      </c>
      <c r="J57" s="24" t="str">
        <f>IF(ISNUMBER(SEARCH("→",METLTask1[[#This Row],[This is a test]])),"",IF(G57=$A$5,$B$5*METLTask1[[#This Row],[CDR''s Weight]],IF(G57=$A$6,$B$6*METLTask1[[#This Row],[CDR''s Weight]],IF(G57=$A$7,$B$7*METLTask1[[#This Row],[CDR''s Weight]]))))</f>
        <v/>
      </c>
      <c r="K57" s="25">
        <f>VLOOKUP(METLTask1[[#This Row],[Commander''s Assessment]],Table216[],2,FALSE)*(1-(($I$49:$I$58-1)*(100/MAX($I$49:$I$58)/100)))</f>
        <v>9.999999999999998E-4</v>
      </c>
      <c r="L57" s="26"/>
      <c r="M57" s="25"/>
      <c r="N57" s="25"/>
      <c r="O57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57" s="44"/>
    </row>
    <row r="58" spans="5:16" hidden="1" outlineLevel="1" x14ac:dyDescent="0.3">
      <c r="E58" s="27" t="s">
        <v>24</v>
      </c>
      <c r="F58" s="31"/>
      <c r="G58" s="20" t="s">
        <v>3</v>
      </c>
      <c r="H58" s="35" t="str">
        <f>IF(ISBLANK(METLTask1[[#This Row],[CDR''s Weight]]),"",VLOOKUP(METLTask1[[#This Row],[Commander''s Assessment]],Table216[],2,FALSE)*(1-(METLTask1[CDR''s Weight]-1)*(100/MAX(METLTask1[CDR''s Weight])/100)))</f>
        <v/>
      </c>
      <c r="I58" s="29">
        <v>1</v>
      </c>
      <c r="J58" s="24" t="str">
        <f>IF(ISNUMBER(SEARCH("→",METLTask1[[#This Row],[This is a test]])),"",IF(G58=$A$5,$B$5*METLTask1[[#This Row],[CDR''s Weight]],IF(G58=$A$6,$B$6*METLTask1[[#This Row],[CDR''s Weight]],IF(G58=$A$7,$B$7*METLTask1[[#This Row],[CDR''s Weight]]))))</f>
        <v/>
      </c>
      <c r="K58" s="25">
        <f>VLOOKUP(METLTask1[[#This Row],[Commander''s Assessment]],Table216[],2,FALSE)*(1-(($I$49:$I$58-1)*(100/MAX($I$49:$I$58)/100)))</f>
        <v>0.01</v>
      </c>
      <c r="L58" s="26"/>
      <c r="M58" s="21"/>
      <c r="N58" s="21"/>
      <c r="O58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58" s="44"/>
    </row>
    <row r="59" spans="5:16" collapsed="1" x14ac:dyDescent="0.3">
      <c r="E59" s="22" t="s">
        <v>16</v>
      </c>
      <c r="F59" s="20">
        <v>6</v>
      </c>
      <c r="G59" s="20" t="s">
        <v>18</v>
      </c>
      <c r="H59" s="35">
        <f>IF(ISBLANK(METLTask1[[#This Row],[CDR''s Weight]]),"",VLOOKUP(METLTask1[[#This Row],[Commander''s Assessment]],Table216[],2,FALSE)*(1-(METLTask1[CDR''s Weight]-1)*(100/MAX(METLTask1[CDR''s Weight])/100)))</f>
        <v>0.5</v>
      </c>
      <c r="I59" s="23"/>
      <c r="J59" s="24">
        <f>IF(ISNUMBER(SEARCH("→",METLTask1[[#This Row],[This is a test]])),"",IF(G59=$A$5,$B$5*METLTask1[[#This Row],[CDR''s Weight]],IF(G59=$A$6,$B$6*METLTask1[[#This Row],[CDR''s Weight]],IF(G59=$A$7,$B$7*METLTask1[[#This Row],[CDR''s Weight]]))))</f>
        <v>6</v>
      </c>
      <c r="K59" s="25" t="str">
        <f>IF(ISNUMBER(METLTask1[[#This Row],[Total]]),"",VLOOKUP(METLTask1[[#This Row],[Commander''s Assessment]],Table216[],2,FALSE)*(1-(($I$60:$I$69-1)*(100/MAX($I$60:$I$69)/100))))</f>
        <v/>
      </c>
      <c r="L59" s="26">
        <f>SUM(I60:I69)</f>
        <v>55</v>
      </c>
      <c r="M59" s="25">
        <f>SUM(K60:K69)*10</f>
        <v>37.61</v>
      </c>
      <c r="N59" s="25">
        <f>METLTask1[[#This Row],[New SB Total]]/METLTask1[[#This Row],[New SB Weight]]</f>
        <v>0.68381818181818177</v>
      </c>
      <c r="O59" s="2" t="str">
        <f>IF(ISBLANK(METLTask1[[#This Row],[calc]]),"",IF(METLTask1[[#This Row],[calc]]&gt;=0.66,$A$5,IF(AND(METLTask1[[#This Row],[calc]]&lt;0.66,METLTask1[[#This Row],[calc]]&gt;=0.33),$A$6,IF(METLTask1[[#This Row],[calc]]&lt;0.33,"U"))))</f>
        <v>T</v>
      </c>
      <c r="P59" s="44"/>
    </row>
    <row r="60" spans="5:16" hidden="1" outlineLevel="1" x14ac:dyDescent="0.3">
      <c r="E60" s="27" t="s">
        <v>33</v>
      </c>
      <c r="F60" s="33"/>
      <c r="G60" s="20" t="s">
        <v>2</v>
      </c>
      <c r="H60" s="35" t="str">
        <f>IF(ISBLANK(METLTask1[[#This Row],[CDR''s Weight]]),"",VLOOKUP(METLTask1[[#This Row],[Commander''s Assessment]],Table216[],2,FALSE)*(1-(METLTask1[CDR''s Weight]-1)*(100/MAX(METLTask1[CDR''s Weight])/100)))</f>
        <v/>
      </c>
      <c r="I60" s="28">
        <v>2</v>
      </c>
      <c r="J60" s="24" t="str">
        <f>IF(ISNUMBER(SEARCH("→",METLTask1[[#This Row],[This is a test]])),"",IF(G60=$A$5,$B$5*METLTask1[[#This Row],[CDR''s Weight]],IF(G60=$A$6,$B$6*METLTask1[[#This Row],[CDR''s Weight]],IF(G60=$A$7,$B$7*METLTask1[[#This Row],[CDR''s Weight]]))))</f>
        <v/>
      </c>
      <c r="K60" s="25">
        <f>VLOOKUP(METLTask1[[#This Row],[Commander''s Assessment]],Table216[],2,FALSE)*(1-(($I$60:$I$69-1)*(100/MAX($I$60:$I$69)/100)))</f>
        <v>0.45</v>
      </c>
      <c r="L60" s="26"/>
      <c r="M60" s="25"/>
      <c r="N60" s="25"/>
      <c r="O60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60" s="44"/>
    </row>
    <row r="61" spans="5:16" hidden="1" outlineLevel="1" x14ac:dyDescent="0.3">
      <c r="E61" s="27" t="s">
        <v>24</v>
      </c>
      <c r="F61" s="33"/>
      <c r="G61" s="20" t="s">
        <v>1</v>
      </c>
      <c r="H61" s="35" t="str">
        <f>IF(ISBLANK(METLTask1[[#This Row],[CDR''s Weight]]),"",VLOOKUP(METLTask1[[#This Row],[Commander''s Assessment]],Table216[],2,FALSE)*(1-(METLTask1[CDR''s Weight]-1)*(100/MAX(METLTask1[CDR''s Weight])/100)))</f>
        <v/>
      </c>
      <c r="I61" s="28">
        <v>3</v>
      </c>
      <c r="J61" s="24" t="str">
        <f>IF(ISNUMBER(SEARCH("→",METLTask1[[#This Row],[This is a test]])),"",IF(G61=$A$5,$B$5*METLTask1[[#This Row],[CDR''s Weight]],IF(G61=$A$6,$B$6*METLTask1[[#This Row],[CDR''s Weight]],IF(G61=$A$7,$B$7*METLTask1[[#This Row],[CDR''s Weight]]))))</f>
        <v/>
      </c>
      <c r="K61" s="25">
        <f>VLOOKUP(METLTask1[[#This Row],[Commander''s Assessment]],Table216[],2,FALSE)*(1-(($I$60:$I$69-1)*(100/MAX($I$60:$I$69)/100)))</f>
        <v>0.8</v>
      </c>
      <c r="L61" s="26"/>
      <c r="M61" s="25"/>
      <c r="N61" s="25"/>
      <c r="O61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61" s="44"/>
    </row>
    <row r="62" spans="5:16" hidden="1" outlineLevel="1" x14ac:dyDescent="0.3">
      <c r="E62" s="27" t="s">
        <v>24</v>
      </c>
      <c r="F62" s="31"/>
      <c r="G62" s="20" t="s">
        <v>1</v>
      </c>
      <c r="H62" s="35" t="str">
        <f>IF(ISBLANK(METLTask1[[#This Row],[CDR''s Weight]]),"",VLOOKUP(METLTask1[[#This Row],[Commander''s Assessment]],Table216[],2,FALSE)*(1-(METLTask1[CDR''s Weight]-1)*(100/MAX(METLTask1[CDR''s Weight])/100)))</f>
        <v/>
      </c>
      <c r="I62" s="28">
        <v>4</v>
      </c>
      <c r="J62" s="24" t="str">
        <f>IF(ISNUMBER(SEARCH("→",METLTask1[[#This Row],[This is a test]])),"",IF(G62=$A$5,$B$5*METLTask1[[#This Row],[CDR''s Weight]],IF(G62=$A$6,$B$6*METLTask1[[#This Row],[CDR''s Weight]],IF(G62=$A$7,$B$7*METLTask1[[#This Row],[CDR''s Weight]]))))</f>
        <v/>
      </c>
      <c r="K62" s="25">
        <f>VLOOKUP(METLTask1[[#This Row],[Commander''s Assessment]],Table216[],2,FALSE)*(1-(($I$60:$I$69-1)*(100/MAX($I$60:$I$69)/100)))</f>
        <v>0.7</v>
      </c>
      <c r="L62" s="26"/>
      <c r="M62" s="25"/>
      <c r="N62" s="25"/>
      <c r="O62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62" s="44"/>
    </row>
    <row r="63" spans="5:16" hidden="1" outlineLevel="1" x14ac:dyDescent="0.3">
      <c r="E63" s="27" t="s">
        <v>24</v>
      </c>
      <c r="F63" s="33"/>
      <c r="G63" s="20" t="s">
        <v>1</v>
      </c>
      <c r="H63" s="35" t="str">
        <f>IF(ISBLANK(METLTask1[[#This Row],[CDR''s Weight]]),"",VLOOKUP(METLTask1[[#This Row],[Commander''s Assessment]],Table216[],2,FALSE)*(1-(METLTask1[CDR''s Weight]-1)*(100/MAX(METLTask1[CDR''s Weight])/100)))</f>
        <v/>
      </c>
      <c r="I63" s="28">
        <v>5</v>
      </c>
      <c r="J63" s="24" t="str">
        <f>IF(ISNUMBER(SEARCH("→",METLTask1[[#This Row],[This is a test]])),"",IF(G63=$A$5,$B$5*METLTask1[[#This Row],[CDR''s Weight]],IF(G63=$A$6,$B$6*METLTask1[[#This Row],[CDR''s Weight]],IF(G63=$A$7,$B$7*METLTask1[[#This Row],[CDR''s Weight]]))))</f>
        <v/>
      </c>
      <c r="K63" s="25">
        <f>VLOOKUP(METLTask1[[#This Row],[Commander''s Assessment]],Table216[],2,FALSE)*(1-(($I$60:$I$69-1)*(100/MAX($I$60:$I$69)/100)))</f>
        <v>0.6</v>
      </c>
      <c r="L63" s="26"/>
      <c r="M63" s="25"/>
      <c r="N63" s="25"/>
      <c r="O63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63" s="44"/>
    </row>
    <row r="64" spans="5:16" hidden="1" outlineLevel="1" x14ac:dyDescent="0.3">
      <c r="E64" s="27" t="s">
        <v>24</v>
      </c>
      <c r="F64" s="33"/>
      <c r="G64" s="20" t="s">
        <v>1</v>
      </c>
      <c r="H64" s="35" t="str">
        <f>IF(ISBLANK(METLTask1[[#This Row],[CDR''s Weight]]),"",VLOOKUP(METLTask1[[#This Row],[Commander''s Assessment]],Table216[],2,FALSE)*(1-(METLTask1[CDR''s Weight]-1)*(100/MAX(METLTask1[CDR''s Weight])/100)))</f>
        <v/>
      </c>
      <c r="I64" s="28">
        <v>6</v>
      </c>
      <c r="J64" s="24" t="str">
        <f>IF(ISNUMBER(SEARCH("→",METLTask1[[#This Row],[This is a test]])),"",IF(G64=$A$5,$B$5*METLTask1[[#This Row],[CDR''s Weight]],IF(G64=$A$6,$B$6*METLTask1[[#This Row],[CDR''s Weight]],IF(G64=$A$7,$B$7*METLTask1[[#This Row],[CDR''s Weight]]))))</f>
        <v/>
      </c>
      <c r="K64" s="25">
        <f>VLOOKUP(METLTask1[[#This Row],[Commander''s Assessment]],Table216[],2,FALSE)*(1-(($I$60:$I$69-1)*(100/MAX($I$60:$I$69)/100)))</f>
        <v>0.5</v>
      </c>
      <c r="L64" s="26"/>
      <c r="M64" s="25"/>
      <c r="N64" s="25"/>
      <c r="O64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64" s="44"/>
    </row>
    <row r="65" spans="5:16" hidden="1" outlineLevel="1" x14ac:dyDescent="0.3">
      <c r="E65" s="27" t="s">
        <v>24</v>
      </c>
      <c r="F65" s="33"/>
      <c r="G65" s="20" t="s">
        <v>2</v>
      </c>
      <c r="H65" s="35" t="str">
        <f>IF(ISBLANK(METLTask1[[#This Row],[CDR''s Weight]]),"",VLOOKUP(METLTask1[[#This Row],[Commander''s Assessment]],Table216[],2,FALSE)*(1-(METLTask1[CDR''s Weight]-1)*(100/MAX(METLTask1[CDR''s Weight])/100)))</f>
        <v/>
      </c>
      <c r="I65" s="28">
        <v>7</v>
      </c>
      <c r="J65" s="24" t="str">
        <f>IF(ISNUMBER(SEARCH("→",METLTask1[[#This Row],[This is a test]])),"",IF(G65=$A$5,$B$5*METLTask1[[#This Row],[CDR''s Weight]],IF(G65=$A$6,$B$6*METLTask1[[#This Row],[CDR''s Weight]],IF(G65=$A$7,$B$7*METLTask1[[#This Row],[CDR''s Weight]]))))</f>
        <v/>
      </c>
      <c r="K65" s="25">
        <f>VLOOKUP(METLTask1[[#This Row],[Commander''s Assessment]],Table216[],2,FALSE)*(1-(($I$60:$I$69-1)*(100/MAX($I$60:$I$69)/100)))</f>
        <v>0.19999999999999996</v>
      </c>
      <c r="L65" s="26"/>
      <c r="M65" s="25"/>
      <c r="N65" s="25"/>
      <c r="O65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65" s="44"/>
    </row>
    <row r="66" spans="5:16" hidden="1" outlineLevel="1" x14ac:dyDescent="0.3">
      <c r="E66" s="27" t="s">
        <v>24</v>
      </c>
      <c r="F66" s="33"/>
      <c r="G66" s="20" t="s">
        <v>1</v>
      </c>
      <c r="H66" s="35" t="str">
        <f>IF(ISBLANK(METLTask1[[#This Row],[CDR''s Weight]]),"",VLOOKUP(METLTask1[[#This Row],[Commander''s Assessment]],Table216[],2,FALSE)*(1-(METLTask1[CDR''s Weight]-1)*(100/MAX(METLTask1[CDR''s Weight])/100)))</f>
        <v/>
      </c>
      <c r="I66" s="28">
        <v>8</v>
      </c>
      <c r="J66" s="24" t="str">
        <f>IF(ISNUMBER(SEARCH("→",METLTask1[[#This Row],[This is a test]])),"",IF(G66=$A$5,$B$5*METLTask1[[#This Row],[CDR''s Weight]],IF(G66=$A$6,$B$6*METLTask1[[#This Row],[CDR''s Weight]],IF(G66=$A$7,$B$7*METLTask1[[#This Row],[CDR''s Weight]]))))</f>
        <v/>
      </c>
      <c r="K66" s="25">
        <f>VLOOKUP(METLTask1[[#This Row],[Commander''s Assessment]],Table216[],2,FALSE)*(1-(($I$60:$I$69-1)*(100/MAX($I$60:$I$69)/100)))</f>
        <v>0.29999999999999993</v>
      </c>
      <c r="L66" s="26"/>
      <c r="M66" s="25"/>
      <c r="N66" s="25"/>
      <c r="O66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66" s="44"/>
    </row>
    <row r="67" spans="5:16" hidden="1" outlineLevel="1" x14ac:dyDescent="0.3">
      <c r="E67" s="27" t="s">
        <v>24</v>
      </c>
      <c r="F67" s="33"/>
      <c r="G67" s="20" t="s">
        <v>1</v>
      </c>
      <c r="H67" s="35" t="str">
        <f>IF(ISBLANK(METLTask1[[#This Row],[CDR''s Weight]]),"",VLOOKUP(METLTask1[[#This Row],[Commander''s Assessment]],Table216[],2,FALSE)*(1-(METLTask1[CDR''s Weight]-1)*(100/MAX(METLTask1[CDR''s Weight])/100)))</f>
        <v/>
      </c>
      <c r="I67" s="28">
        <v>9</v>
      </c>
      <c r="J67" s="24" t="str">
        <f>IF(ISNUMBER(SEARCH("→",METLTask1[[#This Row],[This is a test]])),"",IF(G67=$A$5,$B$5*METLTask1[[#This Row],[CDR''s Weight]],IF(G67=$A$6,$B$6*METLTask1[[#This Row],[CDR''s Weight]],IF(G67=$A$7,$B$7*METLTask1[[#This Row],[CDR''s Weight]]))))</f>
        <v/>
      </c>
      <c r="K67" s="25">
        <f>VLOOKUP(METLTask1[[#This Row],[Commander''s Assessment]],Table216[],2,FALSE)*(1-(($I$60:$I$69-1)*(100/MAX($I$60:$I$69)/100)))</f>
        <v>0.19999999999999996</v>
      </c>
      <c r="L67" s="26"/>
      <c r="M67" s="25"/>
      <c r="N67" s="25"/>
      <c r="O67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67" s="44"/>
    </row>
    <row r="68" spans="5:16" hidden="1" outlineLevel="1" x14ac:dyDescent="0.3">
      <c r="E68" s="27" t="s">
        <v>24</v>
      </c>
      <c r="F68" s="33"/>
      <c r="G68" s="20" t="s">
        <v>3</v>
      </c>
      <c r="H68" s="35" t="str">
        <f>IF(ISBLANK(METLTask1[[#This Row],[CDR''s Weight]]),"",VLOOKUP(METLTask1[[#This Row],[Commander''s Assessment]],Table216[],2,FALSE)*(1-(METLTask1[CDR''s Weight]-1)*(100/MAX(METLTask1[CDR''s Weight])/100)))</f>
        <v/>
      </c>
      <c r="I68" s="28">
        <v>10</v>
      </c>
      <c r="J68" s="24" t="str">
        <f>IF(ISNUMBER(SEARCH("→",METLTask1[[#This Row],[This is a test]])),"",IF(G68=$A$5,$B$5*METLTask1[[#This Row],[CDR''s Weight]],IF(G68=$A$6,$B$6*METLTask1[[#This Row],[CDR''s Weight]],IF(G68=$A$7,$B$7*METLTask1[[#This Row],[CDR''s Weight]]))))</f>
        <v/>
      </c>
      <c r="K68" s="25">
        <f>VLOOKUP(METLTask1[[#This Row],[Commander''s Assessment]],Table216[],2,FALSE)*(1-(($I$60:$I$69-1)*(100/MAX($I$60:$I$69)/100)))</f>
        <v>9.999999999999998E-4</v>
      </c>
      <c r="L68" s="26"/>
      <c r="M68" s="25"/>
      <c r="N68" s="25"/>
      <c r="O68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68" s="44"/>
    </row>
    <row r="69" spans="5:16" hidden="1" outlineLevel="1" x14ac:dyDescent="0.3">
      <c r="E69" s="27" t="s">
        <v>24</v>
      </c>
      <c r="F69" s="31"/>
      <c r="G69" s="20" t="s">
        <v>3</v>
      </c>
      <c r="H69" s="35" t="str">
        <f>IF(ISBLANK(METLTask1[[#This Row],[CDR''s Weight]]),"",VLOOKUP(METLTask1[[#This Row],[Commander''s Assessment]],Table216[],2,FALSE)*(1-(METLTask1[CDR''s Weight]-1)*(100/MAX(METLTask1[CDR''s Weight])/100)))</f>
        <v/>
      </c>
      <c r="I69" s="29">
        <v>1</v>
      </c>
      <c r="J69" s="24" t="str">
        <f>IF(ISNUMBER(SEARCH("→",METLTask1[[#This Row],[This is a test]])),"",IF(G69=$A$5,$B$5*METLTask1[[#This Row],[CDR''s Weight]],IF(G69=$A$6,$B$6*METLTask1[[#This Row],[CDR''s Weight]],IF(G69=$A$7,$B$7*METLTask1[[#This Row],[CDR''s Weight]]))))</f>
        <v/>
      </c>
      <c r="K69" s="25">
        <f>VLOOKUP(METLTask1[[#This Row],[Commander''s Assessment]],Table216[],2,FALSE)*(1-(($I$60:$I$69-1)*(100/MAX($I$60:$I$69)/100)))</f>
        <v>0.01</v>
      </c>
      <c r="L69" s="26"/>
      <c r="M69" s="21"/>
      <c r="N69" s="21"/>
      <c r="O69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69" s="44"/>
    </row>
    <row r="70" spans="5:16" collapsed="1" x14ac:dyDescent="0.3">
      <c r="E70" s="22" t="s">
        <v>16</v>
      </c>
      <c r="F70" s="20">
        <v>7</v>
      </c>
      <c r="G70" s="20" t="s">
        <v>18</v>
      </c>
      <c r="H70" s="35">
        <f>IF(ISBLANK(METLTask1[[#This Row],[CDR''s Weight]]),"",VLOOKUP(METLTask1[[#This Row],[Commander''s Assessment]],Table216[],2,FALSE)*(1-(METLTask1[CDR''s Weight]-1)*(100/MAX(METLTask1[CDR''s Weight])/100)))</f>
        <v>0.39999999999999991</v>
      </c>
      <c r="I70" s="23"/>
      <c r="J70" s="24">
        <f>IF(ISNUMBER(SEARCH("→",METLTask1[[#This Row],[This is a test]])),"",IF(G70=$A$5,$B$5*METLTask1[[#This Row],[CDR''s Weight]],IF(G70=$A$6,$B$6*METLTask1[[#This Row],[CDR''s Weight]],IF(G70=$A$7,$B$7*METLTask1[[#This Row],[CDR''s Weight]]))))</f>
        <v>7</v>
      </c>
      <c r="K70" s="25" t="str">
        <f>IF(ISNUMBER(METLTask1[[#This Row],[Total]]),"",VLOOKUP(METLTask1[[#This Row],[Commander''s Assessment]],Table216[],2,FALSE)*(1-(($I$71:$I$80-1)*(100/MAX($I$71:$I$80)/100))))</f>
        <v/>
      </c>
      <c r="L70" s="26">
        <f>SUM(I71:I80)</f>
        <v>55</v>
      </c>
      <c r="M70" s="25">
        <f>SUM(K71:K80)*10</f>
        <v>37.61</v>
      </c>
      <c r="N70" s="25">
        <f>METLTask1[[#This Row],[New SB Total]]/METLTask1[[#This Row],[New SB Weight]]</f>
        <v>0.68381818181818177</v>
      </c>
      <c r="O70" s="2" t="str">
        <f>IF(ISBLANK(METLTask1[[#This Row],[calc]]),"",IF(METLTask1[[#This Row],[calc]]&gt;=0.66,$A$5,IF(AND(METLTask1[[#This Row],[calc]]&lt;0.66,METLTask1[[#This Row],[calc]]&gt;=0.33),$A$6,IF(METLTask1[[#This Row],[calc]]&lt;0.33,"U"))))</f>
        <v>T</v>
      </c>
      <c r="P70" s="44"/>
    </row>
    <row r="71" spans="5:16" hidden="1" outlineLevel="1" x14ac:dyDescent="0.3">
      <c r="E71" s="27" t="s">
        <v>33</v>
      </c>
      <c r="F71" s="33"/>
      <c r="G71" s="20" t="s">
        <v>2</v>
      </c>
      <c r="H71" s="35" t="str">
        <f>IF(ISBLANK(METLTask1[[#This Row],[CDR''s Weight]]),"",VLOOKUP(METLTask1[[#This Row],[Commander''s Assessment]],Table216[],2,FALSE)*(1-(METLTask1[CDR''s Weight]-1)*(100/MAX(METLTask1[CDR''s Weight])/100)))</f>
        <v/>
      </c>
      <c r="I71" s="28">
        <v>2</v>
      </c>
      <c r="J71" s="24" t="str">
        <f>IF(ISNUMBER(SEARCH("→",METLTask1[[#This Row],[This is a test]])),"",IF(G71=$A$5,$B$5*METLTask1[[#This Row],[CDR''s Weight]],IF(G71=$A$6,$B$6*METLTask1[[#This Row],[CDR''s Weight]],IF(G71=$A$7,$B$7*METLTask1[[#This Row],[CDR''s Weight]]))))</f>
        <v/>
      </c>
      <c r="K71" s="25">
        <f>VLOOKUP(METLTask1[[#This Row],[Commander''s Assessment]],Table216[],2,FALSE)*(1-(($I$71:$I$80-1)*(100/MAX($I$71:$I$80)/100)))</f>
        <v>0.45</v>
      </c>
      <c r="L71" s="26"/>
      <c r="M71" s="25"/>
      <c r="N71" s="25"/>
      <c r="O71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71" s="44"/>
    </row>
    <row r="72" spans="5:16" hidden="1" outlineLevel="1" x14ac:dyDescent="0.3">
      <c r="E72" s="27" t="s">
        <v>24</v>
      </c>
      <c r="F72" s="33"/>
      <c r="G72" s="20" t="s">
        <v>1</v>
      </c>
      <c r="H72" s="35" t="str">
        <f>IF(ISBLANK(METLTask1[[#This Row],[CDR''s Weight]]),"",VLOOKUP(METLTask1[[#This Row],[Commander''s Assessment]],Table216[],2,FALSE)*(1-(METLTask1[CDR''s Weight]-1)*(100/MAX(METLTask1[CDR''s Weight])/100)))</f>
        <v/>
      </c>
      <c r="I72" s="28">
        <v>3</v>
      </c>
      <c r="J72" s="24" t="str">
        <f>IF(ISNUMBER(SEARCH("→",METLTask1[[#This Row],[This is a test]])),"",IF(G72=$A$5,$B$5*METLTask1[[#This Row],[CDR''s Weight]],IF(G72=$A$6,$B$6*METLTask1[[#This Row],[CDR''s Weight]],IF(G72=$A$7,$B$7*METLTask1[[#This Row],[CDR''s Weight]]))))</f>
        <v/>
      </c>
      <c r="K72" s="25">
        <f>VLOOKUP(METLTask1[[#This Row],[Commander''s Assessment]],Table216[],2,FALSE)*(1-(($I$71:$I$80-1)*(100/MAX($I$71:$I$80)/100)))</f>
        <v>0.8</v>
      </c>
      <c r="L72" s="26"/>
      <c r="M72" s="25"/>
      <c r="N72" s="25"/>
      <c r="O72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72" s="44"/>
    </row>
    <row r="73" spans="5:16" hidden="1" outlineLevel="1" x14ac:dyDescent="0.3">
      <c r="E73" s="27" t="s">
        <v>24</v>
      </c>
      <c r="F73" s="31"/>
      <c r="G73" s="20" t="s">
        <v>1</v>
      </c>
      <c r="H73" s="35" t="str">
        <f>IF(ISBLANK(METLTask1[[#This Row],[CDR''s Weight]]),"",VLOOKUP(METLTask1[[#This Row],[Commander''s Assessment]],Table216[],2,FALSE)*(1-(METLTask1[CDR''s Weight]-1)*(100/MAX(METLTask1[CDR''s Weight])/100)))</f>
        <v/>
      </c>
      <c r="I73" s="28">
        <v>4</v>
      </c>
      <c r="J73" s="24" t="str">
        <f>IF(ISNUMBER(SEARCH("→",METLTask1[[#This Row],[This is a test]])),"",IF(G73=$A$5,$B$5*METLTask1[[#This Row],[CDR''s Weight]],IF(G73=$A$6,$B$6*METLTask1[[#This Row],[CDR''s Weight]],IF(G73=$A$7,$B$7*METLTask1[[#This Row],[CDR''s Weight]]))))</f>
        <v/>
      </c>
      <c r="K73" s="25">
        <f>VLOOKUP(METLTask1[[#This Row],[Commander''s Assessment]],Table216[],2,FALSE)*(1-(($I$71:$I$80-1)*(100/MAX($I$71:$I$80)/100)))</f>
        <v>0.7</v>
      </c>
      <c r="L73" s="26"/>
      <c r="M73" s="25"/>
      <c r="N73" s="25"/>
      <c r="O73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73" s="44"/>
    </row>
    <row r="74" spans="5:16" hidden="1" outlineLevel="1" x14ac:dyDescent="0.3">
      <c r="E74" s="27" t="s">
        <v>24</v>
      </c>
      <c r="F74" s="33"/>
      <c r="G74" s="20" t="s">
        <v>1</v>
      </c>
      <c r="H74" s="35" t="str">
        <f>IF(ISBLANK(METLTask1[[#This Row],[CDR''s Weight]]),"",VLOOKUP(METLTask1[[#This Row],[Commander''s Assessment]],Table216[],2,FALSE)*(1-(METLTask1[CDR''s Weight]-1)*(100/MAX(METLTask1[CDR''s Weight])/100)))</f>
        <v/>
      </c>
      <c r="I74" s="28">
        <v>5</v>
      </c>
      <c r="J74" s="24" t="str">
        <f>IF(ISNUMBER(SEARCH("→",METLTask1[[#This Row],[This is a test]])),"",IF(G74=$A$5,$B$5*METLTask1[[#This Row],[CDR''s Weight]],IF(G74=$A$6,$B$6*METLTask1[[#This Row],[CDR''s Weight]],IF(G74=$A$7,$B$7*METLTask1[[#This Row],[CDR''s Weight]]))))</f>
        <v/>
      </c>
      <c r="K74" s="25">
        <f>VLOOKUP(METLTask1[[#This Row],[Commander''s Assessment]],Table216[],2,FALSE)*(1-(($I$71:$I$80-1)*(100/MAX($I$71:$I$80)/100)))</f>
        <v>0.6</v>
      </c>
      <c r="L74" s="26"/>
      <c r="M74" s="25"/>
      <c r="N74" s="25"/>
      <c r="O74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74" s="44"/>
    </row>
    <row r="75" spans="5:16" hidden="1" outlineLevel="1" x14ac:dyDescent="0.3">
      <c r="E75" s="27" t="s">
        <v>24</v>
      </c>
      <c r="F75" s="33"/>
      <c r="G75" s="20" t="s">
        <v>1</v>
      </c>
      <c r="H75" s="35" t="str">
        <f>IF(ISBLANK(METLTask1[[#This Row],[CDR''s Weight]]),"",VLOOKUP(METLTask1[[#This Row],[Commander''s Assessment]],Table216[],2,FALSE)*(1-(METLTask1[CDR''s Weight]-1)*(100/MAX(METLTask1[CDR''s Weight])/100)))</f>
        <v/>
      </c>
      <c r="I75" s="28">
        <v>6</v>
      </c>
      <c r="J75" s="24" t="str">
        <f>IF(ISNUMBER(SEARCH("→",METLTask1[[#This Row],[This is a test]])),"",IF(G75=$A$5,$B$5*METLTask1[[#This Row],[CDR''s Weight]],IF(G75=$A$6,$B$6*METLTask1[[#This Row],[CDR''s Weight]],IF(G75=$A$7,$B$7*METLTask1[[#This Row],[CDR''s Weight]]))))</f>
        <v/>
      </c>
      <c r="K75" s="25">
        <f>VLOOKUP(METLTask1[[#This Row],[Commander''s Assessment]],Table216[],2,FALSE)*(1-(($I$71:$I$80-1)*(100/MAX($I$71:$I$80)/100)))</f>
        <v>0.5</v>
      </c>
      <c r="L75" s="26"/>
      <c r="M75" s="25"/>
      <c r="N75" s="25"/>
      <c r="O75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75" s="44"/>
    </row>
    <row r="76" spans="5:16" hidden="1" outlineLevel="1" x14ac:dyDescent="0.3">
      <c r="E76" s="27" t="s">
        <v>24</v>
      </c>
      <c r="F76" s="33"/>
      <c r="G76" s="20" t="s">
        <v>2</v>
      </c>
      <c r="H76" s="35" t="str">
        <f>IF(ISBLANK(METLTask1[[#This Row],[CDR''s Weight]]),"",VLOOKUP(METLTask1[[#This Row],[Commander''s Assessment]],Table216[],2,FALSE)*(1-(METLTask1[CDR''s Weight]-1)*(100/MAX(METLTask1[CDR''s Weight])/100)))</f>
        <v/>
      </c>
      <c r="I76" s="28">
        <v>7</v>
      </c>
      <c r="J76" s="24" t="str">
        <f>IF(ISNUMBER(SEARCH("→",METLTask1[[#This Row],[This is a test]])),"",IF(G76=$A$5,$B$5*METLTask1[[#This Row],[CDR''s Weight]],IF(G76=$A$6,$B$6*METLTask1[[#This Row],[CDR''s Weight]],IF(G76=$A$7,$B$7*METLTask1[[#This Row],[CDR''s Weight]]))))</f>
        <v/>
      </c>
      <c r="K76" s="25">
        <f>VLOOKUP(METLTask1[[#This Row],[Commander''s Assessment]],Table216[],2,FALSE)*(1-(($I$71:$I$80-1)*(100/MAX($I$71:$I$80)/100)))</f>
        <v>0.19999999999999996</v>
      </c>
      <c r="L76" s="26"/>
      <c r="M76" s="25"/>
      <c r="N76" s="25"/>
      <c r="O76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76" s="44"/>
    </row>
    <row r="77" spans="5:16" hidden="1" outlineLevel="1" x14ac:dyDescent="0.3">
      <c r="E77" s="27" t="s">
        <v>24</v>
      </c>
      <c r="F77" s="33"/>
      <c r="G77" s="20" t="s">
        <v>1</v>
      </c>
      <c r="H77" s="35" t="str">
        <f>IF(ISBLANK(METLTask1[[#This Row],[CDR''s Weight]]),"",VLOOKUP(METLTask1[[#This Row],[Commander''s Assessment]],Table216[],2,FALSE)*(1-(METLTask1[CDR''s Weight]-1)*(100/MAX(METLTask1[CDR''s Weight])/100)))</f>
        <v/>
      </c>
      <c r="I77" s="28">
        <v>8</v>
      </c>
      <c r="J77" s="24" t="str">
        <f>IF(ISNUMBER(SEARCH("→",METLTask1[[#This Row],[This is a test]])),"",IF(G77=$A$5,$B$5*METLTask1[[#This Row],[CDR''s Weight]],IF(G77=$A$6,$B$6*METLTask1[[#This Row],[CDR''s Weight]],IF(G77=$A$7,$B$7*METLTask1[[#This Row],[CDR''s Weight]]))))</f>
        <v/>
      </c>
      <c r="K77" s="25">
        <f>VLOOKUP(METLTask1[[#This Row],[Commander''s Assessment]],Table216[],2,FALSE)*(1-(($I$71:$I$80-1)*(100/MAX($I$71:$I$80)/100)))</f>
        <v>0.29999999999999993</v>
      </c>
      <c r="L77" s="26"/>
      <c r="M77" s="25"/>
      <c r="N77" s="25"/>
      <c r="O77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77" s="44"/>
    </row>
    <row r="78" spans="5:16" hidden="1" outlineLevel="1" x14ac:dyDescent="0.3">
      <c r="E78" s="27" t="s">
        <v>24</v>
      </c>
      <c r="F78" s="33"/>
      <c r="G78" s="20" t="s">
        <v>1</v>
      </c>
      <c r="H78" s="35" t="str">
        <f>IF(ISBLANK(METLTask1[[#This Row],[CDR''s Weight]]),"",VLOOKUP(METLTask1[[#This Row],[Commander''s Assessment]],Table216[],2,FALSE)*(1-(METLTask1[CDR''s Weight]-1)*(100/MAX(METLTask1[CDR''s Weight])/100)))</f>
        <v/>
      </c>
      <c r="I78" s="28">
        <v>9</v>
      </c>
      <c r="J78" s="24" t="str">
        <f>IF(ISNUMBER(SEARCH("→",METLTask1[[#This Row],[This is a test]])),"",IF(G78=$A$5,$B$5*METLTask1[[#This Row],[CDR''s Weight]],IF(G78=$A$6,$B$6*METLTask1[[#This Row],[CDR''s Weight]],IF(G78=$A$7,$B$7*METLTask1[[#This Row],[CDR''s Weight]]))))</f>
        <v/>
      </c>
      <c r="K78" s="25">
        <f>VLOOKUP(METLTask1[[#This Row],[Commander''s Assessment]],Table216[],2,FALSE)*(1-(($I$71:$I$80-1)*(100/MAX($I$71:$I$80)/100)))</f>
        <v>0.19999999999999996</v>
      </c>
      <c r="L78" s="26"/>
      <c r="M78" s="25"/>
      <c r="N78" s="25"/>
      <c r="O78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78" s="44"/>
    </row>
    <row r="79" spans="5:16" hidden="1" outlineLevel="1" x14ac:dyDescent="0.3">
      <c r="E79" s="27" t="s">
        <v>24</v>
      </c>
      <c r="F79" s="33"/>
      <c r="G79" s="20" t="s">
        <v>3</v>
      </c>
      <c r="H79" s="35" t="str">
        <f>IF(ISBLANK(METLTask1[[#This Row],[CDR''s Weight]]),"",VLOOKUP(METLTask1[[#This Row],[Commander''s Assessment]],Table216[],2,FALSE)*(1-(METLTask1[CDR''s Weight]-1)*(100/MAX(METLTask1[CDR''s Weight])/100)))</f>
        <v/>
      </c>
      <c r="I79" s="28">
        <v>10</v>
      </c>
      <c r="J79" s="24" t="str">
        <f>IF(ISNUMBER(SEARCH("→",METLTask1[[#This Row],[This is a test]])),"",IF(G79=$A$5,$B$5*METLTask1[[#This Row],[CDR''s Weight]],IF(G79=$A$6,$B$6*METLTask1[[#This Row],[CDR''s Weight]],IF(G79=$A$7,$B$7*METLTask1[[#This Row],[CDR''s Weight]]))))</f>
        <v/>
      </c>
      <c r="K79" s="25">
        <f>VLOOKUP(METLTask1[[#This Row],[Commander''s Assessment]],Table216[],2,FALSE)*(1-(($I$71:$I$80-1)*(100/MAX($I$71:$I$80)/100)))</f>
        <v>9.999999999999998E-4</v>
      </c>
      <c r="L79" s="26"/>
      <c r="M79" s="25"/>
      <c r="N79" s="25"/>
      <c r="O79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79" s="44"/>
    </row>
    <row r="80" spans="5:16" hidden="1" outlineLevel="1" x14ac:dyDescent="0.3">
      <c r="E80" s="27" t="s">
        <v>24</v>
      </c>
      <c r="F80" s="31"/>
      <c r="G80" s="20" t="s">
        <v>3</v>
      </c>
      <c r="H80" s="35" t="str">
        <f>IF(ISBLANK(METLTask1[[#This Row],[CDR''s Weight]]),"",VLOOKUP(METLTask1[[#This Row],[Commander''s Assessment]],Table216[],2,FALSE)*(1-(METLTask1[CDR''s Weight]-1)*(100/MAX(METLTask1[CDR''s Weight])/100)))</f>
        <v/>
      </c>
      <c r="I80" s="29">
        <v>1</v>
      </c>
      <c r="J80" s="24" t="str">
        <f>IF(ISNUMBER(SEARCH("→",METLTask1[[#This Row],[This is a test]])),"",IF(G80=$A$5,$B$5*METLTask1[[#This Row],[CDR''s Weight]],IF(G80=$A$6,$B$6*METLTask1[[#This Row],[CDR''s Weight]],IF(G80=$A$7,$B$7*METLTask1[[#This Row],[CDR''s Weight]]))))</f>
        <v/>
      </c>
      <c r="K80" s="25">
        <f>VLOOKUP(METLTask1[[#This Row],[Commander''s Assessment]],Table216[],2,FALSE)*(1-(($I$71:$I$80-1)*(100/MAX($I$71:$I$80)/100)))</f>
        <v>0.01</v>
      </c>
      <c r="L80" s="26"/>
      <c r="M80" s="21"/>
      <c r="N80" s="21"/>
      <c r="O80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80" s="44"/>
    </row>
    <row r="81" spans="5:16" collapsed="1" x14ac:dyDescent="0.3">
      <c r="E81" s="22" t="s">
        <v>16</v>
      </c>
      <c r="F81" s="20">
        <v>8</v>
      </c>
      <c r="G81" s="20" t="s">
        <v>18</v>
      </c>
      <c r="H81" s="35">
        <f>IF(ISBLANK(METLTask1[[#This Row],[CDR''s Weight]]),"",VLOOKUP(METLTask1[[#This Row],[Commander''s Assessment]],Table216[],2,FALSE)*(1-(METLTask1[CDR''s Weight]-1)*(100/MAX(METLTask1[CDR''s Weight])/100)))</f>
        <v>0.29999999999999993</v>
      </c>
      <c r="I81" s="23"/>
      <c r="J81" s="24">
        <f>IF(ISNUMBER(SEARCH("→",METLTask1[[#This Row],[This is a test]])),"",IF(G81=$A$5,$B$5*METLTask1[[#This Row],[CDR''s Weight]],IF(G81=$A$6,$B$6*METLTask1[[#This Row],[CDR''s Weight]],IF(G81=$A$7,$B$7*METLTask1[[#This Row],[CDR''s Weight]]))))</f>
        <v>8</v>
      </c>
      <c r="K81" s="25" t="str">
        <f>IF(ISNUMBER(METLTask1[[#This Row],[Total]]),"",VLOOKUP(METLTask1[[#This Row],[Commander''s Assessment]],Table216[],2,FALSE)*(1-(($I$82:$I$91-1)*(100/MAX($I$82:$I$91)/100))))</f>
        <v/>
      </c>
      <c r="L81" s="26">
        <f>SUM(I82:I91)</f>
        <v>55</v>
      </c>
      <c r="M81" s="25">
        <f>SUM(K82:K91)*10</f>
        <v>37.61</v>
      </c>
      <c r="N81" s="25">
        <f>METLTask1[[#This Row],[New SB Total]]/METLTask1[[#This Row],[New SB Weight]]</f>
        <v>0.68381818181818177</v>
      </c>
      <c r="O81" s="2" t="str">
        <f>IF(ISBLANK(METLTask1[[#This Row],[calc]]),"",IF(METLTask1[[#This Row],[calc]]&gt;=0.66,$A$5,IF(AND(METLTask1[[#This Row],[calc]]&lt;0.66,METLTask1[[#This Row],[calc]]&gt;=0.33),$A$6,IF(METLTask1[[#This Row],[calc]]&lt;0.33,"U"))))</f>
        <v>T</v>
      </c>
      <c r="P81" s="44"/>
    </row>
    <row r="82" spans="5:16" hidden="1" outlineLevel="1" x14ac:dyDescent="0.3">
      <c r="E82" s="27" t="s">
        <v>33</v>
      </c>
      <c r="F82" s="33"/>
      <c r="G82" s="20" t="s">
        <v>2</v>
      </c>
      <c r="H82" s="35" t="str">
        <f>IF(ISBLANK(METLTask1[[#This Row],[CDR''s Weight]]),"",VLOOKUP(METLTask1[[#This Row],[Commander''s Assessment]],Table216[],2,FALSE)*(1-(METLTask1[CDR''s Weight]-1)*(100/MAX(METLTask1[CDR''s Weight])/100)))</f>
        <v/>
      </c>
      <c r="I82" s="28">
        <v>2</v>
      </c>
      <c r="J82" s="24" t="str">
        <f>IF(ISNUMBER(SEARCH("→",METLTask1[[#This Row],[This is a test]])),"",IF(G82=$A$5,$B$5*METLTask1[[#This Row],[CDR''s Weight]],IF(G82=$A$6,$B$6*METLTask1[[#This Row],[CDR''s Weight]],IF(G82=$A$7,$B$7*METLTask1[[#This Row],[CDR''s Weight]]))))</f>
        <v/>
      </c>
      <c r="K82" s="25">
        <f>VLOOKUP(METLTask1[[#This Row],[Commander''s Assessment]],Table216[],2,FALSE)*(1-(($I$82:$I$91-1)*(100/MAX($I$82:$I$91)/100)))</f>
        <v>0.45</v>
      </c>
      <c r="L82" s="26"/>
      <c r="M82" s="25"/>
      <c r="N82" s="25"/>
      <c r="O82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82" s="44"/>
    </row>
    <row r="83" spans="5:16" hidden="1" outlineLevel="1" x14ac:dyDescent="0.3">
      <c r="E83" s="27" t="s">
        <v>24</v>
      </c>
      <c r="F83" s="33"/>
      <c r="G83" s="20" t="s">
        <v>1</v>
      </c>
      <c r="H83" s="35" t="str">
        <f>IF(ISBLANK(METLTask1[[#This Row],[CDR''s Weight]]),"",VLOOKUP(METLTask1[[#This Row],[Commander''s Assessment]],Table216[],2,FALSE)*(1-(METLTask1[CDR''s Weight]-1)*(100/MAX(METLTask1[CDR''s Weight])/100)))</f>
        <v/>
      </c>
      <c r="I83" s="28">
        <v>3</v>
      </c>
      <c r="J83" s="24" t="str">
        <f>IF(ISNUMBER(SEARCH("→",METLTask1[[#This Row],[This is a test]])),"",IF(G83=$A$5,$B$5*METLTask1[[#This Row],[CDR''s Weight]],IF(G83=$A$6,$B$6*METLTask1[[#This Row],[CDR''s Weight]],IF(G83=$A$7,$B$7*METLTask1[[#This Row],[CDR''s Weight]]))))</f>
        <v/>
      </c>
      <c r="K83" s="25">
        <f>VLOOKUP(METLTask1[[#This Row],[Commander''s Assessment]],Table216[],2,FALSE)*(1-(($I$82:$I$91-1)*(100/MAX($I$82:$I$91)/100)))</f>
        <v>0.8</v>
      </c>
      <c r="L83" s="26"/>
      <c r="M83" s="25"/>
      <c r="N83" s="25"/>
      <c r="O83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83" s="44"/>
    </row>
    <row r="84" spans="5:16" hidden="1" outlineLevel="1" x14ac:dyDescent="0.3">
      <c r="E84" s="27" t="s">
        <v>24</v>
      </c>
      <c r="F84" s="31"/>
      <c r="G84" s="20" t="s">
        <v>1</v>
      </c>
      <c r="H84" s="35" t="str">
        <f>IF(ISBLANK(METLTask1[[#This Row],[CDR''s Weight]]),"",VLOOKUP(METLTask1[[#This Row],[Commander''s Assessment]],Table216[],2,FALSE)*(1-(METLTask1[CDR''s Weight]-1)*(100/MAX(METLTask1[CDR''s Weight])/100)))</f>
        <v/>
      </c>
      <c r="I84" s="28">
        <v>4</v>
      </c>
      <c r="J84" s="24" t="str">
        <f>IF(ISNUMBER(SEARCH("→",METLTask1[[#This Row],[This is a test]])),"",IF(G84=$A$5,$B$5*METLTask1[[#This Row],[CDR''s Weight]],IF(G84=$A$6,$B$6*METLTask1[[#This Row],[CDR''s Weight]],IF(G84=$A$7,$B$7*METLTask1[[#This Row],[CDR''s Weight]]))))</f>
        <v/>
      </c>
      <c r="K84" s="25">
        <f>VLOOKUP(METLTask1[[#This Row],[Commander''s Assessment]],Table216[],2,FALSE)*(1-(($I$82:$I$91-1)*(100/MAX($I$82:$I$91)/100)))</f>
        <v>0.7</v>
      </c>
      <c r="L84" s="26"/>
      <c r="M84" s="25"/>
      <c r="N84" s="25"/>
      <c r="O84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84" s="44"/>
    </row>
    <row r="85" spans="5:16" hidden="1" outlineLevel="1" x14ac:dyDescent="0.3">
      <c r="E85" s="27" t="s">
        <v>24</v>
      </c>
      <c r="F85" s="33"/>
      <c r="G85" s="20" t="s">
        <v>1</v>
      </c>
      <c r="H85" s="35" t="str">
        <f>IF(ISBLANK(METLTask1[[#This Row],[CDR''s Weight]]),"",VLOOKUP(METLTask1[[#This Row],[Commander''s Assessment]],Table216[],2,FALSE)*(1-(METLTask1[CDR''s Weight]-1)*(100/MAX(METLTask1[CDR''s Weight])/100)))</f>
        <v/>
      </c>
      <c r="I85" s="28">
        <v>5</v>
      </c>
      <c r="J85" s="24" t="str">
        <f>IF(ISNUMBER(SEARCH("→",METLTask1[[#This Row],[This is a test]])),"",IF(G85=$A$5,$B$5*METLTask1[[#This Row],[CDR''s Weight]],IF(G85=$A$6,$B$6*METLTask1[[#This Row],[CDR''s Weight]],IF(G85=$A$7,$B$7*METLTask1[[#This Row],[CDR''s Weight]]))))</f>
        <v/>
      </c>
      <c r="K85" s="25">
        <f>VLOOKUP(METLTask1[[#This Row],[Commander''s Assessment]],Table216[],2,FALSE)*(1-(($I$82:$I$91-1)*(100/MAX($I$82:$I$91)/100)))</f>
        <v>0.6</v>
      </c>
      <c r="L85" s="26"/>
      <c r="M85" s="25"/>
      <c r="N85" s="25"/>
      <c r="O85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85" s="44"/>
    </row>
    <row r="86" spans="5:16" hidden="1" outlineLevel="1" x14ac:dyDescent="0.3">
      <c r="E86" s="27" t="s">
        <v>24</v>
      </c>
      <c r="F86" s="33"/>
      <c r="G86" s="20" t="s">
        <v>1</v>
      </c>
      <c r="H86" s="35" t="str">
        <f>IF(ISBLANK(METLTask1[[#This Row],[CDR''s Weight]]),"",VLOOKUP(METLTask1[[#This Row],[Commander''s Assessment]],Table216[],2,FALSE)*(1-(METLTask1[CDR''s Weight]-1)*(100/MAX(METLTask1[CDR''s Weight])/100)))</f>
        <v/>
      </c>
      <c r="I86" s="28">
        <v>6</v>
      </c>
      <c r="J86" s="24" t="str">
        <f>IF(ISNUMBER(SEARCH("→",METLTask1[[#This Row],[This is a test]])),"",IF(G86=$A$5,$B$5*METLTask1[[#This Row],[CDR''s Weight]],IF(G86=$A$6,$B$6*METLTask1[[#This Row],[CDR''s Weight]],IF(G86=$A$7,$B$7*METLTask1[[#This Row],[CDR''s Weight]]))))</f>
        <v/>
      </c>
      <c r="K86" s="25">
        <f>VLOOKUP(METLTask1[[#This Row],[Commander''s Assessment]],Table216[],2,FALSE)*(1-(($I$82:$I$91-1)*(100/MAX($I$82:$I$91)/100)))</f>
        <v>0.5</v>
      </c>
      <c r="L86" s="26"/>
      <c r="M86" s="25"/>
      <c r="N86" s="25"/>
      <c r="O86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86" s="44"/>
    </row>
    <row r="87" spans="5:16" hidden="1" outlineLevel="1" x14ac:dyDescent="0.3">
      <c r="E87" s="27" t="s">
        <v>24</v>
      </c>
      <c r="F87" s="33"/>
      <c r="G87" s="20" t="s">
        <v>2</v>
      </c>
      <c r="H87" s="35" t="str">
        <f>IF(ISBLANK(METLTask1[[#This Row],[CDR''s Weight]]),"",VLOOKUP(METLTask1[[#This Row],[Commander''s Assessment]],Table216[],2,FALSE)*(1-(METLTask1[CDR''s Weight]-1)*(100/MAX(METLTask1[CDR''s Weight])/100)))</f>
        <v/>
      </c>
      <c r="I87" s="28">
        <v>7</v>
      </c>
      <c r="J87" s="24" t="str">
        <f>IF(ISNUMBER(SEARCH("→",METLTask1[[#This Row],[This is a test]])),"",IF(G87=$A$5,$B$5*METLTask1[[#This Row],[CDR''s Weight]],IF(G87=$A$6,$B$6*METLTask1[[#This Row],[CDR''s Weight]],IF(G87=$A$7,$B$7*METLTask1[[#This Row],[CDR''s Weight]]))))</f>
        <v/>
      </c>
      <c r="K87" s="25">
        <f>VLOOKUP(METLTask1[[#This Row],[Commander''s Assessment]],Table216[],2,FALSE)*(1-(($I$82:$I$91-1)*(100/MAX($I$82:$I$91)/100)))</f>
        <v>0.19999999999999996</v>
      </c>
      <c r="L87" s="26"/>
      <c r="M87" s="25"/>
      <c r="N87" s="25"/>
      <c r="O87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87" s="44"/>
    </row>
    <row r="88" spans="5:16" hidden="1" outlineLevel="1" x14ac:dyDescent="0.3">
      <c r="E88" s="27" t="s">
        <v>24</v>
      </c>
      <c r="F88" s="33"/>
      <c r="G88" s="20" t="s">
        <v>1</v>
      </c>
      <c r="H88" s="35" t="str">
        <f>IF(ISBLANK(METLTask1[[#This Row],[CDR''s Weight]]),"",VLOOKUP(METLTask1[[#This Row],[Commander''s Assessment]],Table216[],2,FALSE)*(1-(METLTask1[CDR''s Weight]-1)*(100/MAX(METLTask1[CDR''s Weight])/100)))</f>
        <v/>
      </c>
      <c r="I88" s="28">
        <v>8</v>
      </c>
      <c r="J88" s="24" t="str">
        <f>IF(ISNUMBER(SEARCH("→",METLTask1[[#This Row],[This is a test]])),"",IF(G88=$A$5,$B$5*METLTask1[[#This Row],[CDR''s Weight]],IF(G88=$A$6,$B$6*METLTask1[[#This Row],[CDR''s Weight]],IF(G88=$A$7,$B$7*METLTask1[[#This Row],[CDR''s Weight]]))))</f>
        <v/>
      </c>
      <c r="K88" s="25">
        <f>VLOOKUP(METLTask1[[#This Row],[Commander''s Assessment]],Table216[],2,FALSE)*(1-(($I$82:$I$91-1)*(100/MAX($I$82:$I$91)/100)))</f>
        <v>0.29999999999999993</v>
      </c>
      <c r="L88" s="26"/>
      <c r="M88" s="25"/>
      <c r="N88" s="25"/>
      <c r="O88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88" s="44"/>
    </row>
    <row r="89" spans="5:16" hidden="1" outlineLevel="1" x14ac:dyDescent="0.3">
      <c r="E89" s="27" t="s">
        <v>24</v>
      </c>
      <c r="F89" s="33"/>
      <c r="G89" s="20" t="s">
        <v>1</v>
      </c>
      <c r="H89" s="35" t="str">
        <f>IF(ISBLANK(METLTask1[[#This Row],[CDR''s Weight]]),"",VLOOKUP(METLTask1[[#This Row],[Commander''s Assessment]],Table216[],2,FALSE)*(1-(METLTask1[CDR''s Weight]-1)*(100/MAX(METLTask1[CDR''s Weight])/100)))</f>
        <v/>
      </c>
      <c r="I89" s="28">
        <v>9</v>
      </c>
      <c r="J89" s="24" t="str">
        <f>IF(ISNUMBER(SEARCH("→",METLTask1[[#This Row],[This is a test]])),"",IF(G89=$A$5,$B$5*METLTask1[[#This Row],[CDR''s Weight]],IF(G89=$A$6,$B$6*METLTask1[[#This Row],[CDR''s Weight]],IF(G89=$A$7,$B$7*METLTask1[[#This Row],[CDR''s Weight]]))))</f>
        <v/>
      </c>
      <c r="K89" s="25">
        <f>VLOOKUP(METLTask1[[#This Row],[Commander''s Assessment]],Table216[],2,FALSE)*(1-(($I$82:$I$91-1)*(100/MAX($I$82:$I$91)/100)))</f>
        <v>0.19999999999999996</v>
      </c>
      <c r="L89" s="26"/>
      <c r="M89" s="25"/>
      <c r="N89" s="25"/>
      <c r="O89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89" s="44"/>
    </row>
    <row r="90" spans="5:16" hidden="1" outlineLevel="1" x14ac:dyDescent="0.3">
      <c r="E90" s="27" t="s">
        <v>24</v>
      </c>
      <c r="F90" s="33"/>
      <c r="G90" s="20" t="s">
        <v>3</v>
      </c>
      <c r="H90" s="35" t="str">
        <f>IF(ISBLANK(METLTask1[[#This Row],[CDR''s Weight]]),"",VLOOKUP(METLTask1[[#This Row],[Commander''s Assessment]],Table216[],2,FALSE)*(1-(METLTask1[CDR''s Weight]-1)*(100/MAX(METLTask1[CDR''s Weight])/100)))</f>
        <v/>
      </c>
      <c r="I90" s="28">
        <v>10</v>
      </c>
      <c r="J90" s="24" t="str">
        <f>IF(ISNUMBER(SEARCH("→",METLTask1[[#This Row],[This is a test]])),"",IF(G90=$A$5,$B$5*METLTask1[[#This Row],[CDR''s Weight]],IF(G90=$A$6,$B$6*METLTask1[[#This Row],[CDR''s Weight]],IF(G90=$A$7,$B$7*METLTask1[[#This Row],[CDR''s Weight]]))))</f>
        <v/>
      </c>
      <c r="K90" s="25">
        <f>VLOOKUP(METLTask1[[#This Row],[Commander''s Assessment]],Table216[],2,FALSE)*(1-(($I$82:$I$91-1)*(100/MAX($I$82:$I$91)/100)))</f>
        <v>9.999999999999998E-4</v>
      </c>
      <c r="L90" s="26"/>
      <c r="M90" s="25"/>
      <c r="N90" s="25"/>
      <c r="O90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90" s="44"/>
    </row>
    <row r="91" spans="5:16" hidden="1" outlineLevel="1" x14ac:dyDescent="0.3">
      <c r="E91" s="27" t="s">
        <v>24</v>
      </c>
      <c r="F91" s="31"/>
      <c r="G91" s="20" t="s">
        <v>3</v>
      </c>
      <c r="H91" s="35" t="str">
        <f>IF(ISBLANK(METLTask1[[#This Row],[CDR''s Weight]]),"",VLOOKUP(METLTask1[[#This Row],[Commander''s Assessment]],Table216[],2,FALSE)*(1-(METLTask1[CDR''s Weight]-1)*(100/MAX(METLTask1[CDR''s Weight])/100)))</f>
        <v/>
      </c>
      <c r="I91" s="29">
        <v>1</v>
      </c>
      <c r="J91" s="24" t="str">
        <f>IF(ISNUMBER(SEARCH("→",METLTask1[[#This Row],[This is a test]])),"",IF(G91=$A$5,$B$5*METLTask1[[#This Row],[CDR''s Weight]],IF(G91=$A$6,$B$6*METLTask1[[#This Row],[CDR''s Weight]],IF(G91=$A$7,$B$7*METLTask1[[#This Row],[CDR''s Weight]]))))</f>
        <v/>
      </c>
      <c r="K91" s="25">
        <f>VLOOKUP(METLTask1[[#This Row],[Commander''s Assessment]],Table216[],2,FALSE)*(1-(($I$82:$I$91-1)*(100/MAX($I$82:$I$91)/100)))</f>
        <v>0.01</v>
      </c>
      <c r="L91" s="26"/>
      <c r="M91" s="21"/>
      <c r="N91" s="21"/>
      <c r="O91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91" s="44"/>
    </row>
    <row r="92" spans="5:16" collapsed="1" x14ac:dyDescent="0.3">
      <c r="E92" s="22" t="s">
        <v>16</v>
      </c>
      <c r="F92" s="20">
        <v>9</v>
      </c>
      <c r="G92" s="20" t="s">
        <v>18</v>
      </c>
      <c r="H92" s="35">
        <f>IF(ISBLANK(METLTask1[[#This Row],[CDR''s Weight]]),"",VLOOKUP(METLTask1[[#This Row],[Commander''s Assessment]],Table216[],2,FALSE)*(1-(METLTask1[CDR''s Weight]-1)*(100/MAX(METLTask1[CDR''s Weight])/100)))</f>
        <v>0.19999999999999996</v>
      </c>
      <c r="I92" s="23"/>
      <c r="J92" s="24">
        <f>IF(ISNUMBER(SEARCH("→",METLTask1[[#This Row],[This is a test]])),"",IF(G92=$A$5,$B$5*METLTask1[[#This Row],[CDR''s Weight]],IF(G92=$A$6,$B$6*METLTask1[[#This Row],[CDR''s Weight]],IF(G92=$A$7,$B$7*METLTask1[[#This Row],[CDR''s Weight]]))))</f>
        <v>9</v>
      </c>
      <c r="K92" s="25" t="str">
        <f>IF(ISNUMBER(METLTask1[[#This Row],[Total]]),"",VLOOKUP(METLTask1[[#This Row],[Commander''s Assessment]],Table216[],2,FALSE)*(1-(($I$93:$I$102-1)*(100/MAX($I$93:$I$102)/100))))</f>
        <v/>
      </c>
      <c r="L92" s="26">
        <f>SUM(I93:I102)</f>
        <v>55</v>
      </c>
      <c r="M92" s="25">
        <f>SUM(K93:K102)*10</f>
        <v>37.61</v>
      </c>
      <c r="N92" s="25">
        <f>METLTask1[[#This Row],[New SB Total]]/METLTask1[[#This Row],[New SB Weight]]</f>
        <v>0.68381818181818177</v>
      </c>
      <c r="O92" s="2" t="str">
        <f>IF(ISBLANK(METLTask1[[#This Row],[calc]]),"",IF(METLTask1[[#This Row],[calc]]&gt;=0.66,$A$5,IF(AND(METLTask1[[#This Row],[calc]]&lt;0.66,METLTask1[[#This Row],[calc]]&gt;=0.33),$A$6,IF(METLTask1[[#This Row],[calc]]&lt;0.33,"U"))))</f>
        <v>T</v>
      </c>
      <c r="P92" s="44"/>
    </row>
    <row r="93" spans="5:16" hidden="1" outlineLevel="1" x14ac:dyDescent="0.3">
      <c r="E93" s="27" t="s">
        <v>33</v>
      </c>
      <c r="F93" s="33"/>
      <c r="G93" s="20" t="s">
        <v>2</v>
      </c>
      <c r="H93" s="35" t="str">
        <f>IF(ISBLANK(METLTask1[[#This Row],[CDR''s Weight]]),"",VLOOKUP(METLTask1[[#This Row],[Commander''s Assessment]],Table216[],2,FALSE)*(1-(METLTask1[CDR''s Weight]-1)*(100/MAX(METLTask1[CDR''s Weight])/100)))</f>
        <v/>
      </c>
      <c r="I93" s="28">
        <v>2</v>
      </c>
      <c r="J93" s="24" t="str">
        <f>IF(ISNUMBER(SEARCH("→",METLTask1[[#This Row],[This is a test]])),"",IF(G93=$A$5,$B$5*METLTask1[[#This Row],[CDR''s Weight]],IF(G93=$A$6,$B$6*METLTask1[[#This Row],[CDR''s Weight]],IF(G93=$A$7,$B$7*METLTask1[[#This Row],[CDR''s Weight]]))))</f>
        <v/>
      </c>
      <c r="K93" s="25">
        <f>VLOOKUP(METLTask1[[#This Row],[Commander''s Assessment]],Table216[],2,FALSE)*(1-(($I$93:$I$102-1)*(100/MAX($I$93:$I$102)/100)))</f>
        <v>0.45</v>
      </c>
      <c r="L93" s="26"/>
      <c r="M93" s="25"/>
      <c r="N93" s="25"/>
      <c r="O93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93" s="44"/>
    </row>
    <row r="94" spans="5:16" hidden="1" outlineLevel="1" x14ac:dyDescent="0.3">
      <c r="E94" s="27" t="s">
        <v>24</v>
      </c>
      <c r="F94" s="33"/>
      <c r="G94" s="20" t="s">
        <v>1</v>
      </c>
      <c r="H94" s="35" t="str">
        <f>IF(ISBLANK(METLTask1[[#This Row],[CDR''s Weight]]),"",VLOOKUP(METLTask1[[#This Row],[Commander''s Assessment]],Table216[],2,FALSE)*(1-(METLTask1[CDR''s Weight]-1)*(100/MAX(METLTask1[CDR''s Weight])/100)))</f>
        <v/>
      </c>
      <c r="I94" s="28">
        <v>3</v>
      </c>
      <c r="J94" s="24" t="str">
        <f>IF(ISNUMBER(SEARCH("→",METLTask1[[#This Row],[This is a test]])),"",IF(G94=$A$5,$B$5*METLTask1[[#This Row],[CDR''s Weight]],IF(G94=$A$6,$B$6*METLTask1[[#This Row],[CDR''s Weight]],IF(G94=$A$7,$B$7*METLTask1[[#This Row],[CDR''s Weight]]))))</f>
        <v/>
      </c>
      <c r="K94" s="25">
        <f>VLOOKUP(METLTask1[[#This Row],[Commander''s Assessment]],Table216[],2,FALSE)*(1-(($I$93:$I$102-1)*(100/MAX($I$93:$I$102)/100)))</f>
        <v>0.8</v>
      </c>
      <c r="L94" s="26"/>
      <c r="M94" s="25"/>
      <c r="N94" s="25"/>
      <c r="O94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94" s="44"/>
    </row>
    <row r="95" spans="5:16" hidden="1" outlineLevel="1" x14ac:dyDescent="0.3">
      <c r="E95" s="27" t="s">
        <v>24</v>
      </c>
      <c r="F95" s="31"/>
      <c r="G95" s="20" t="s">
        <v>1</v>
      </c>
      <c r="H95" s="35" t="str">
        <f>IF(ISBLANK(METLTask1[[#This Row],[CDR''s Weight]]),"",VLOOKUP(METLTask1[[#This Row],[Commander''s Assessment]],Table216[],2,FALSE)*(1-(METLTask1[CDR''s Weight]-1)*(100/MAX(METLTask1[CDR''s Weight])/100)))</f>
        <v/>
      </c>
      <c r="I95" s="28">
        <v>4</v>
      </c>
      <c r="J95" s="24" t="str">
        <f>IF(ISNUMBER(SEARCH("→",METLTask1[[#This Row],[This is a test]])),"",IF(G95=$A$5,$B$5*METLTask1[[#This Row],[CDR''s Weight]],IF(G95=$A$6,$B$6*METLTask1[[#This Row],[CDR''s Weight]],IF(G95=$A$7,$B$7*METLTask1[[#This Row],[CDR''s Weight]]))))</f>
        <v/>
      </c>
      <c r="K95" s="25">
        <f>VLOOKUP(METLTask1[[#This Row],[Commander''s Assessment]],Table216[],2,FALSE)*(1-(($I$93:$I$102-1)*(100/MAX($I$93:$I$102)/100)))</f>
        <v>0.7</v>
      </c>
      <c r="L95" s="26"/>
      <c r="M95" s="25"/>
      <c r="N95" s="25"/>
      <c r="O95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95" s="44"/>
    </row>
    <row r="96" spans="5:16" hidden="1" outlineLevel="1" x14ac:dyDescent="0.3">
      <c r="E96" s="27" t="s">
        <v>24</v>
      </c>
      <c r="F96" s="33"/>
      <c r="G96" s="20" t="s">
        <v>1</v>
      </c>
      <c r="H96" s="35" t="str">
        <f>IF(ISBLANK(METLTask1[[#This Row],[CDR''s Weight]]),"",VLOOKUP(METLTask1[[#This Row],[Commander''s Assessment]],Table216[],2,FALSE)*(1-(METLTask1[CDR''s Weight]-1)*(100/MAX(METLTask1[CDR''s Weight])/100)))</f>
        <v/>
      </c>
      <c r="I96" s="28">
        <v>5</v>
      </c>
      <c r="J96" s="24" t="str">
        <f>IF(ISNUMBER(SEARCH("→",METLTask1[[#This Row],[This is a test]])),"",IF(G96=$A$5,$B$5*METLTask1[[#This Row],[CDR''s Weight]],IF(G96=$A$6,$B$6*METLTask1[[#This Row],[CDR''s Weight]],IF(G96=$A$7,$B$7*METLTask1[[#This Row],[CDR''s Weight]]))))</f>
        <v/>
      </c>
      <c r="K96" s="25">
        <f>VLOOKUP(METLTask1[[#This Row],[Commander''s Assessment]],Table216[],2,FALSE)*(1-(($I$93:$I$102-1)*(100/MAX($I$93:$I$102)/100)))</f>
        <v>0.6</v>
      </c>
      <c r="L96" s="26"/>
      <c r="M96" s="25"/>
      <c r="N96" s="25"/>
      <c r="O96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96" s="44"/>
    </row>
    <row r="97" spans="5:16" hidden="1" outlineLevel="1" x14ac:dyDescent="0.3">
      <c r="E97" s="27" t="s">
        <v>24</v>
      </c>
      <c r="F97" s="33"/>
      <c r="G97" s="20" t="s">
        <v>1</v>
      </c>
      <c r="H97" s="35" t="str">
        <f>IF(ISBLANK(METLTask1[[#This Row],[CDR''s Weight]]),"",VLOOKUP(METLTask1[[#This Row],[Commander''s Assessment]],Table216[],2,FALSE)*(1-(METLTask1[CDR''s Weight]-1)*(100/MAX(METLTask1[CDR''s Weight])/100)))</f>
        <v/>
      </c>
      <c r="I97" s="28">
        <v>6</v>
      </c>
      <c r="J97" s="24" t="str">
        <f>IF(ISNUMBER(SEARCH("→",METLTask1[[#This Row],[This is a test]])),"",IF(G97=$A$5,$B$5*METLTask1[[#This Row],[CDR''s Weight]],IF(G97=$A$6,$B$6*METLTask1[[#This Row],[CDR''s Weight]],IF(G97=$A$7,$B$7*METLTask1[[#This Row],[CDR''s Weight]]))))</f>
        <v/>
      </c>
      <c r="K97" s="25">
        <f>VLOOKUP(METLTask1[[#This Row],[Commander''s Assessment]],Table216[],2,FALSE)*(1-(($I$93:$I$102-1)*(100/MAX($I$93:$I$102)/100)))</f>
        <v>0.5</v>
      </c>
      <c r="L97" s="26"/>
      <c r="M97" s="25"/>
      <c r="N97" s="25"/>
      <c r="O97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97" s="44"/>
    </row>
    <row r="98" spans="5:16" hidden="1" outlineLevel="1" x14ac:dyDescent="0.3">
      <c r="E98" s="27" t="s">
        <v>24</v>
      </c>
      <c r="F98" s="33"/>
      <c r="G98" s="20" t="s">
        <v>2</v>
      </c>
      <c r="H98" s="35" t="str">
        <f>IF(ISBLANK(METLTask1[[#This Row],[CDR''s Weight]]),"",VLOOKUP(METLTask1[[#This Row],[Commander''s Assessment]],Table216[],2,FALSE)*(1-(METLTask1[CDR''s Weight]-1)*(100/MAX(METLTask1[CDR''s Weight])/100)))</f>
        <v/>
      </c>
      <c r="I98" s="28">
        <v>7</v>
      </c>
      <c r="J98" s="24" t="str">
        <f>IF(ISNUMBER(SEARCH("→",METLTask1[[#This Row],[This is a test]])),"",IF(G98=$A$5,$B$5*METLTask1[[#This Row],[CDR''s Weight]],IF(G98=$A$6,$B$6*METLTask1[[#This Row],[CDR''s Weight]],IF(G98=$A$7,$B$7*METLTask1[[#This Row],[CDR''s Weight]]))))</f>
        <v/>
      </c>
      <c r="K98" s="25">
        <f>VLOOKUP(METLTask1[[#This Row],[Commander''s Assessment]],Table216[],2,FALSE)*(1-(($I$93:$I$102-1)*(100/MAX($I$93:$I$102)/100)))</f>
        <v>0.19999999999999996</v>
      </c>
      <c r="L98" s="26"/>
      <c r="M98" s="25"/>
      <c r="N98" s="25"/>
      <c r="O98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98" s="44"/>
    </row>
    <row r="99" spans="5:16" hidden="1" outlineLevel="1" x14ac:dyDescent="0.3">
      <c r="E99" s="27" t="s">
        <v>24</v>
      </c>
      <c r="F99" s="33"/>
      <c r="G99" s="20" t="s">
        <v>1</v>
      </c>
      <c r="H99" s="35" t="str">
        <f>IF(ISBLANK(METLTask1[[#This Row],[CDR''s Weight]]),"",VLOOKUP(METLTask1[[#This Row],[Commander''s Assessment]],Table216[],2,FALSE)*(1-(METLTask1[CDR''s Weight]-1)*(100/MAX(METLTask1[CDR''s Weight])/100)))</f>
        <v/>
      </c>
      <c r="I99" s="28">
        <v>8</v>
      </c>
      <c r="J99" s="24" t="str">
        <f>IF(ISNUMBER(SEARCH("→",METLTask1[[#This Row],[This is a test]])),"",IF(G99=$A$5,$B$5*METLTask1[[#This Row],[CDR''s Weight]],IF(G99=$A$6,$B$6*METLTask1[[#This Row],[CDR''s Weight]],IF(G99=$A$7,$B$7*METLTask1[[#This Row],[CDR''s Weight]]))))</f>
        <v/>
      </c>
      <c r="K99" s="25">
        <f>VLOOKUP(METLTask1[[#This Row],[Commander''s Assessment]],Table216[],2,FALSE)*(1-(($I$93:$I$102-1)*(100/MAX($I$93:$I$102)/100)))</f>
        <v>0.29999999999999993</v>
      </c>
      <c r="L99" s="26"/>
      <c r="M99" s="25"/>
      <c r="N99" s="25"/>
      <c r="O99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99" s="44"/>
    </row>
    <row r="100" spans="5:16" hidden="1" outlineLevel="1" x14ac:dyDescent="0.3">
      <c r="E100" s="27" t="s">
        <v>24</v>
      </c>
      <c r="F100" s="33"/>
      <c r="G100" s="20" t="s">
        <v>1</v>
      </c>
      <c r="H100" s="35" t="str">
        <f>IF(ISBLANK(METLTask1[[#This Row],[CDR''s Weight]]),"",VLOOKUP(METLTask1[[#This Row],[Commander''s Assessment]],Table216[],2,FALSE)*(1-(METLTask1[CDR''s Weight]-1)*(100/MAX(METLTask1[CDR''s Weight])/100)))</f>
        <v/>
      </c>
      <c r="I100" s="28">
        <v>9</v>
      </c>
      <c r="J100" s="24" t="str">
        <f>IF(ISNUMBER(SEARCH("→",METLTask1[[#This Row],[This is a test]])),"",IF(G100=$A$5,$B$5*METLTask1[[#This Row],[CDR''s Weight]],IF(G100=$A$6,$B$6*METLTask1[[#This Row],[CDR''s Weight]],IF(G100=$A$7,$B$7*METLTask1[[#This Row],[CDR''s Weight]]))))</f>
        <v/>
      </c>
      <c r="K100" s="25">
        <f>VLOOKUP(METLTask1[[#This Row],[Commander''s Assessment]],Table216[],2,FALSE)*(1-(($I$93:$I$102-1)*(100/MAX($I$93:$I$102)/100)))</f>
        <v>0.19999999999999996</v>
      </c>
      <c r="L100" s="26"/>
      <c r="M100" s="25"/>
      <c r="N100" s="25"/>
      <c r="O100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00" s="44"/>
    </row>
    <row r="101" spans="5:16" hidden="1" outlineLevel="1" x14ac:dyDescent="0.3">
      <c r="E101" s="27" t="s">
        <v>24</v>
      </c>
      <c r="F101" s="33"/>
      <c r="G101" s="20" t="s">
        <v>3</v>
      </c>
      <c r="H101" s="35" t="str">
        <f>IF(ISBLANK(METLTask1[[#This Row],[CDR''s Weight]]),"",VLOOKUP(METLTask1[[#This Row],[Commander''s Assessment]],Table216[],2,FALSE)*(1-(METLTask1[CDR''s Weight]-1)*(100/MAX(METLTask1[CDR''s Weight])/100)))</f>
        <v/>
      </c>
      <c r="I101" s="28">
        <v>10</v>
      </c>
      <c r="J101" s="24" t="str">
        <f>IF(ISNUMBER(SEARCH("→",METLTask1[[#This Row],[This is a test]])),"",IF(G101=$A$5,$B$5*METLTask1[[#This Row],[CDR''s Weight]],IF(G101=$A$6,$B$6*METLTask1[[#This Row],[CDR''s Weight]],IF(G101=$A$7,$B$7*METLTask1[[#This Row],[CDR''s Weight]]))))</f>
        <v/>
      </c>
      <c r="K101" s="25">
        <f>VLOOKUP(METLTask1[[#This Row],[Commander''s Assessment]],Table216[],2,FALSE)*(1-(($I$93:$I$102-1)*(100/MAX($I$93:$I$102)/100)))</f>
        <v>9.999999999999998E-4</v>
      </c>
      <c r="L101" s="26"/>
      <c r="M101" s="25"/>
      <c r="N101" s="25"/>
      <c r="O101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01" s="44"/>
    </row>
    <row r="102" spans="5:16" hidden="1" outlineLevel="1" x14ac:dyDescent="0.3">
      <c r="E102" s="27" t="s">
        <v>24</v>
      </c>
      <c r="F102" s="31"/>
      <c r="G102" s="20" t="s">
        <v>3</v>
      </c>
      <c r="H102" s="35" t="str">
        <f>IF(ISBLANK(METLTask1[[#This Row],[CDR''s Weight]]),"",VLOOKUP(METLTask1[[#This Row],[Commander''s Assessment]],Table216[],2,FALSE)*(1-(METLTask1[CDR''s Weight]-1)*(100/MAX(METLTask1[CDR''s Weight])/100)))</f>
        <v/>
      </c>
      <c r="I102" s="29">
        <v>1</v>
      </c>
      <c r="J102" s="24" t="str">
        <f>IF(ISNUMBER(SEARCH("→",METLTask1[[#This Row],[This is a test]])),"",IF(G102=$A$5,$B$5*METLTask1[[#This Row],[CDR''s Weight]],IF(G102=$A$6,$B$6*METLTask1[[#This Row],[CDR''s Weight]],IF(G102=$A$7,$B$7*METLTask1[[#This Row],[CDR''s Weight]]))))</f>
        <v/>
      </c>
      <c r="K102" s="25">
        <f>VLOOKUP(METLTask1[[#This Row],[Commander''s Assessment]],Table216[],2,FALSE)*(1-(($I$93:$I$102-1)*(100/MAX($I$93:$I$102)/100)))</f>
        <v>0.01</v>
      </c>
      <c r="L102" s="26"/>
      <c r="M102" s="21"/>
      <c r="N102" s="21"/>
      <c r="O102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02" s="44"/>
    </row>
    <row r="103" spans="5:16" collapsed="1" x14ac:dyDescent="0.3">
      <c r="E103" s="22" t="s">
        <v>16</v>
      </c>
      <c r="F103" s="20">
        <v>10</v>
      </c>
      <c r="G103" s="20" t="s">
        <v>18</v>
      </c>
      <c r="H103" s="35">
        <f>IF(ISBLANK(METLTask1[[#This Row],[CDR''s Weight]]),"",VLOOKUP(METLTask1[[#This Row],[Commander''s Assessment]],Table216[],2,FALSE)*(1-(METLTask1[CDR''s Weight]-1)*(100/MAX(METLTask1[CDR''s Weight])/100)))</f>
        <v>9.9999999999999978E-2</v>
      </c>
      <c r="I103" s="23"/>
      <c r="J103" s="24">
        <f>IF(ISNUMBER(SEARCH("→",METLTask1[[#This Row],[This is a test]])),"",IF(G103=$A$5,$B$5*METLTask1[[#This Row],[CDR''s Weight]],IF(G103=$A$6,$B$6*METLTask1[[#This Row],[CDR''s Weight]],IF(G103=$A$7,$B$7*METLTask1[[#This Row],[CDR''s Weight]]))))</f>
        <v>10</v>
      </c>
      <c r="K103" s="25" t="str">
        <f>IF(ISNUMBER(METLTask1[[#This Row],[Total]]),"",VLOOKUP(METLTask1[[#This Row],[Commander''s Assessment]],Table216[],2,FALSE)*(1-(($I$104:$I$113)*(100/MAX($I$104:$I$113)/100))))</f>
        <v/>
      </c>
      <c r="L103" s="26">
        <f>SUM(I104:I113)</f>
        <v>55</v>
      </c>
      <c r="M103" s="25">
        <f>SUM(K104:K113)*10</f>
        <v>37.61</v>
      </c>
      <c r="N103" s="25">
        <f>METLTask1[[#This Row],[New SB Total]]/METLTask1[[#This Row],[New SB Weight]]</f>
        <v>0.68381818181818177</v>
      </c>
      <c r="O103" s="2" t="str">
        <f>IF(ISBLANK(METLTask1[[#This Row],[calc]]),"",IF(METLTask1[[#This Row],[calc]]&gt;=0.66,$A$5,IF(AND(METLTask1[[#This Row],[calc]]&lt;0.66,METLTask1[[#This Row],[calc]]&gt;=0.33),$A$6,IF(METLTask1[[#This Row],[calc]]&lt;0.33,"U"))))</f>
        <v>T</v>
      </c>
      <c r="P103" s="44"/>
    </row>
    <row r="104" spans="5:16" hidden="1" outlineLevel="1" x14ac:dyDescent="0.3">
      <c r="E104" s="27" t="s">
        <v>33</v>
      </c>
      <c r="F104" s="33"/>
      <c r="G104" s="20" t="s">
        <v>2</v>
      </c>
      <c r="H104" s="35" t="str">
        <f>IF(ISBLANK(METLTask1[[#This Row],[CDR''s Weight]]),"",VLOOKUP(METLTask1[[#This Row],[Commander''s Assessment]],Table216[],2,FALSE)*(1-(METLTask1[CDR''s Weight]-1)*(100/MAX(METLTask1[CDR''s Weight])/100)))</f>
        <v/>
      </c>
      <c r="I104" s="28">
        <v>2</v>
      </c>
      <c r="J104" s="24" t="str">
        <f>IF(ISNUMBER(SEARCH("→",METLTask1[[#This Row],[This is a test]])),"",IF(G104=$A$5,$B$5*METLTask1[[#This Row],[CDR''s Weight]],IF(G104=$A$6,$B$6*METLTask1[[#This Row],[CDR''s Weight]],IF(G104=$A$7,$B$7*METLTask1[[#This Row],[CDR''s Weight]]))))</f>
        <v/>
      </c>
      <c r="K104" s="25">
        <f>VLOOKUP(METLTask1[[#This Row],[Commander''s Assessment]],Table216[],2,FALSE)*(1-(($I$104:$I$113-1)*(100/MAX($I$104:$I$113)/100)))</f>
        <v>0.45</v>
      </c>
      <c r="L104" s="26"/>
      <c r="M104" s="25"/>
      <c r="N104" s="25"/>
      <c r="O104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04" s="41"/>
    </row>
    <row r="105" spans="5:16" hidden="1" outlineLevel="1" x14ac:dyDescent="0.3">
      <c r="E105" s="27" t="s">
        <v>24</v>
      </c>
      <c r="F105" s="33"/>
      <c r="G105" s="20" t="s">
        <v>1</v>
      </c>
      <c r="H105" s="35" t="str">
        <f>IF(ISBLANK(METLTask1[[#This Row],[CDR''s Weight]]),"",VLOOKUP(METLTask1[[#This Row],[Commander''s Assessment]],Table216[],2,FALSE)*(1-(METLTask1[CDR''s Weight]-1)*(100/MAX(METLTask1[CDR''s Weight])/100)))</f>
        <v/>
      </c>
      <c r="I105" s="28">
        <v>3</v>
      </c>
      <c r="J105" s="24" t="str">
        <f>IF(ISNUMBER(SEARCH("→",METLTask1[[#This Row],[This is a test]])),"",IF(G105=$A$5,$B$5*METLTask1[[#This Row],[CDR''s Weight]],IF(G105=$A$6,$B$6*METLTask1[[#This Row],[CDR''s Weight]],IF(G105=$A$7,$B$7*METLTask1[[#This Row],[CDR''s Weight]]))))</f>
        <v/>
      </c>
      <c r="K105" s="25">
        <f>VLOOKUP(METLTask1[[#This Row],[Commander''s Assessment]],Table216[],2,FALSE)*(1-(($I$104:$I$113-1)*(100/MAX($I$104:$I$113)/100)))</f>
        <v>0.8</v>
      </c>
      <c r="L105" s="26"/>
      <c r="M105" s="25"/>
      <c r="N105" s="25"/>
      <c r="O105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05" s="41"/>
    </row>
    <row r="106" spans="5:16" hidden="1" outlineLevel="1" x14ac:dyDescent="0.3">
      <c r="E106" s="27" t="s">
        <v>24</v>
      </c>
      <c r="F106" s="31"/>
      <c r="G106" s="20" t="s">
        <v>1</v>
      </c>
      <c r="H106" s="35" t="str">
        <f>IF(ISBLANK(METLTask1[[#This Row],[CDR''s Weight]]),"",VLOOKUP(METLTask1[[#This Row],[Commander''s Assessment]],Table216[],2,FALSE)*(1-(METLTask1[CDR''s Weight]-1)*(100/MAX(METLTask1[CDR''s Weight])/100)))</f>
        <v/>
      </c>
      <c r="I106" s="28">
        <v>4</v>
      </c>
      <c r="J106" s="24" t="str">
        <f>IF(ISNUMBER(SEARCH("→",METLTask1[[#This Row],[This is a test]])),"",IF(G106=$A$5,$B$5*METLTask1[[#This Row],[CDR''s Weight]],IF(G106=$A$6,$B$6*METLTask1[[#This Row],[CDR''s Weight]],IF(G106=$A$7,$B$7*METLTask1[[#This Row],[CDR''s Weight]]))))</f>
        <v/>
      </c>
      <c r="K106" s="25">
        <f>VLOOKUP(METLTask1[[#This Row],[Commander''s Assessment]],Table216[],2,FALSE)*(1-(($I$104:$I$113-1)*(100/MAX($I$104:$I$113)/100)))</f>
        <v>0.7</v>
      </c>
      <c r="L106" s="26"/>
      <c r="M106" s="25"/>
      <c r="N106" s="25"/>
      <c r="O106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06" s="41"/>
    </row>
    <row r="107" spans="5:16" hidden="1" outlineLevel="1" x14ac:dyDescent="0.3">
      <c r="E107" s="27" t="s">
        <v>24</v>
      </c>
      <c r="F107" s="33"/>
      <c r="G107" s="20" t="s">
        <v>1</v>
      </c>
      <c r="H107" s="35" t="str">
        <f>IF(ISBLANK(METLTask1[[#This Row],[CDR''s Weight]]),"",VLOOKUP(METLTask1[[#This Row],[Commander''s Assessment]],Table216[],2,FALSE)*(1-(METLTask1[CDR''s Weight]-1)*(100/MAX(METLTask1[CDR''s Weight])/100)))</f>
        <v/>
      </c>
      <c r="I107" s="28">
        <v>5</v>
      </c>
      <c r="J107" s="24" t="str">
        <f>IF(ISNUMBER(SEARCH("→",METLTask1[[#This Row],[This is a test]])),"",IF(G107=$A$5,$B$5*METLTask1[[#This Row],[CDR''s Weight]],IF(G107=$A$6,$B$6*METLTask1[[#This Row],[CDR''s Weight]],IF(G107=$A$7,$B$7*METLTask1[[#This Row],[CDR''s Weight]]))))</f>
        <v/>
      </c>
      <c r="K107" s="25">
        <f>VLOOKUP(METLTask1[[#This Row],[Commander''s Assessment]],Table216[],2,FALSE)*(1-(($I$104:$I$113-1)*(100/MAX($I$104:$I$113)/100)))</f>
        <v>0.6</v>
      </c>
      <c r="L107" s="26"/>
      <c r="M107" s="25"/>
      <c r="N107" s="25"/>
      <c r="O107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07" s="41"/>
    </row>
    <row r="108" spans="5:16" hidden="1" outlineLevel="1" x14ac:dyDescent="0.3">
      <c r="E108" s="27" t="s">
        <v>24</v>
      </c>
      <c r="F108" s="33"/>
      <c r="G108" s="20" t="s">
        <v>1</v>
      </c>
      <c r="H108" s="35" t="str">
        <f>IF(ISBLANK(METLTask1[[#This Row],[CDR''s Weight]]),"",VLOOKUP(METLTask1[[#This Row],[Commander''s Assessment]],Table216[],2,FALSE)*(1-(METLTask1[CDR''s Weight]-1)*(100/MAX(METLTask1[CDR''s Weight])/100)))</f>
        <v/>
      </c>
      <c r="I108" s="28">
        <v>6</v>
      </c>
      <c r="J108" s="24" t="str">
        <f>IF(ISNUMBER(SEARCH("→",METLTask1[[#This Row],[This is a test]])),"",IF(G108=$A$5,$B$5*METLTask1[[#This Row],[CDR''s Weight]],IF(G108=$A$6,$B$6*METLTask1[[#This Row],[CDR''s Weight]],IF(G108=$A$7,$B$7*METLTask1[[#This Row],[CDR''s Weight]]))))</f>
        <v/>
      </c>
      <c r="K108" s="25">
        <f>VLOOKUP(METLTask1[[#This Row],[Commander''s Assessment]],Table216[],2,FALSE)*(1-(($I$104:$I$113-1)*(100/MAX($I$104:$I$113)/100)))</f>
        <v>0.5</v>
      </c>
      <c r="L108" s="26"/>
      <c r="M108" s="25"/>
      <c r="N108" s="25"/>
      <c r="O108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08" s="41"/>
    </row>
    <row r="109" spans="5:16" hidden="1" outlineLevel="1" x14ac:dyDescent="0.3">
      <c r="E109" s="27" t="s">
        <v>24</v>
      </c>
      <c r="F109" s="33"/>
      <c r="G109" s="20" t="s">
        <v>2</v>
      </c>
      <c r="H109" s="35" t="str">
        <f>IF(ISBLANK(METLTask1[[#This Row],[CDR''s Weight]]),"",VLOOKUP(METLTask1[[#This Row],[Commander''s Assessment]],Table216[],2,FALSE)*(1-(METLTask1[CDR''s Weight]-1)*(100/MAX(METLTask1[CDR''s Weight])/100)))</f>
        <v/>
      </c>
      <c r="I109" s="28">
        <v>7</v>
      </c>
      <c r="J109" s="24" t="str">
        <f>IF(ISNUMBER(SEARCH("→",METLTask1[[#This Row],[This is a test]])),"",IF(G109=$A$5,$B$5*METLTask1[[#This Row],[CDR''s Weight]],IF(G109=$A$6,$B$6*METLTask1[[#This Row],[CDR''s Weight]],IF(G109=$A$7,$B$7*METLTask1[[#This Row],[CDR''s Weight]]))))</f>
        <v/>
      </c>
      <c r="K109" s="25">
        <f>VLOOKUP(METLTask1[[#This Row],[Commander''s Assessment]],Table216[],2,FALSE)*(1-(($I$104:$I$113-1)*(100/MAX($I$104:$I$113)/100)))</f>
        <v>0.19999999999999996</v>
      </c>
      <c r="L109" s="26"/>
      <c r="M109" s="25"/>
      <c r="N109" s="25"/>
      <c r="O109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09" s="41"/>
    </row>
    <row r="110" spans="5:16" hidden="1" outlineLevel="1" x14ac:dyDescent="0.3">
      <c r="E110" s="27" t="s">
        <v>24</v>
      </c>
      <c r="F110" s="33"/>
      <c r="G110" s="20" t="s">
        <v>1</v>
      </c>
      <c r="H110" s="35" t="str">
        <f>IF(ISBLANK(METLTask1[[#This Row],[CDR''s Weight]]),"",VLOOKUP(METLTask1[[#This Row],[Commander''s Assessment]],Table216[],2,FALSE)*(1-(METLTask1[CDR''s Weight]-1)*(100/MAX(METLTask1[CDR''s Weight])/100)))</f>
        <v/>
      </c>
      <c r="I110" s="28">
        <v>8</v>
      </c>
      <c r="J110" s="24" t="str">
        <f>IF(ISNUMBER(SEARCH("→",METLTask1[[#This Row],[This is a test]])),"",IF(G110=$A$5,$B$5*METLTask1[[#This Row],[CDR''s Weight]],IF(G110=$A$6,$B$6*METLTask1[[#This Row],[CDR''s Weight]],IF(G110=$A$7,$B$7*METLTask1[[#This Row],[CDR''s Weight]]))))</f>
        <v/>
      </c>
      <c r="K110" s="25">
        <f>VLOOKUP(METLTask1[[#This Row],[Commander''s Assessment]],Table216[],2,FALSE)*(1-(($I$104:$I$113-1)*(100/MAX($I$104:$I$113)/100)))</f>
        <v>0.29999999999999993</v>
      </c>
      <c r="L110" s="26"/>
      <c r="M110" s="25"/>
      <c r="N110" s="25"/>
      <c r="O110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10" s="41"/>
    </row>
    <row r="111" spans="5:16" hidden="1" outlineLevel="1" x14ac:dyDescent="0.3">
      <c r="E111" s="27" t="s">
        <v>24</v>
      </c>
      <c r="F111" s="33"/>
      <c r="G111" s="20" t="s">
        <v>1</v>
      </c>
      <c r="H111" s="35" t="str">
        <f>IF(ISBLANK(METLTask1[[#This Row],[CDR''s Weight]]),"",VLOOKUP(METLTask1[[#This Row],[Commander''s Assessment]],Table216[],2,FALSE)*(1-(METLTask1[CDR''s Weight]-1)*(100/MAX(METLTask1[CDR''s Weight])/100)))</f>
        <v/>
      </c>
      <c r="I111" s="28">
        <v>9</v>
      </c>
      <c r="J111" s="24" t="str">
        <f>IF(ISNUMBER(SEARCH("→",METLTask1[[#This Row],[This is a test]])),"",IF(G111=$A$5,$B$5*METLTask1[[#This Row],[CDR''s Weight]],IF(G111=$A$6,$B$6*METLTask1[[#This Row],[CDR''s Weight]],IF(G111=$A$7,$B$7*METLTask1[[#This Row],[CDR''s Weight]]))))</f>
        <v/>
      </c>
      <c r="K111" s="25">
        <f>VLOOKUP(METLTask1[[#This Row],[Commander''s Assessment]],Table216[],2,FALSE)*(1-(($I$104:$I$113-1)*(100/MAX($I$104:$I$113)/100)))</f>
        <v>0.19999999999999996</v>
      </c>
      <c r="L111" s="26"/>
      <c r="M111" s="25"/>
      <c r="N111" s="25"/>
      <c r="O111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11" s="41"/>
    </row>
    <row r="112" spans="5:16" hidden="1" outlineLevel="1" x14ac:dyDescent="0.3">
      <c r="E112" s="27" t="s">
        <v>24</v>
      </c>
      <c r="F112" s="33"/>
      <c r="G112" s="20" t="s">
        <v>3</v>
      </c>
      <c r="H112" s="35" t="str">
        <f>IF(ISBLANK(METLTask1[[#This Row],[CDR''s Weight]]),"",VLOOKUP(METLTask1[[#This Row],[Commander''s Assessment]],Table216[],2,FALSE)*(1-(METLTask1[CDR''s Weight]-1)*(100/MAX(METLTask1[CDR''s Weight])/100)))</f>
        <v/>
      </c>
      <c r="I112" s="28">
        <v>10</v>
      </c>
      <c r="J112" s="24" t="str">
        <f>IF(ISNUMBER(SEARCH("→",METLTask1[[#This Row],[This is a test]])),"",IF(G112=$A$5,$B$5*METLTask1[[#This Row],[CDR''s Weight]],IF(G112=$A$6,$B$6*METLTask1[[#This Row],[CDR''s Weight]],IF(G112=$A$7,$B$7*METLTask1[[#This Row],[CDR''s Weight]]))))</f>
        <v/>
      </c>
      <c r="K112" s="25">
        <f>VLOOKUP(METLTask1[[#This Row],[Commander''s Assessment]],Table216[],2,FALSE)*(1-(($I$104:$I$113-1)*(100/MAX($I$104:$I$113)/100)))</f>
        <v>9.999999999999998E-4</v>
      </c>
      <c r="L112" s="26"/>
      <c r="M112" s="25"/>
      <c r="N112" s="25"/>
      <c r="O112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12" s="41"/>
    </row>
    <row r="113" spans="5:16" hidden="1" outlineLevel="1" x14ac:dyDescent="0.3">
      <c r="E113" s="27" t="s">
        <v>24</v>
      </c>
      <c r="F113" s="31"/>
      <c r="G113" s="20" t="s">
        <v>3</v>
      </c>
      <c r="H113" s="35" t="str">
        <f>IF(ISBLANK(METLTask1[[#This Row],[CDR''s Weight]]),"",VLOOKUP(METLTask1[[#This Row],[Commander''s Assessment]],Table216[],2,FALSE)*(1-(METLTask1[CDR''s Weight]-1)*(100/MAX(METLTask1[CDR''s Weight])/100)))</f>
        <v/>
      </c>
      <c r="I113" s="29">
        <v>1</v>
      </c>
      <c r="J113" s="24" t="str">
        <f>IF(ISNUMBER(SEARCH("→",METLTask1[[#This Row],[This is a test]])),"",IF(G113=$A$5,$B$5*METLTask1[[#This Row],[CDR''s Weight]],IF(G113=$A$6,$B$6*METLTask1[[#This Row],[CDR''s Weight]],IF(G113=$A$7,$B$7*METLTask1[[#This Row],[CDR''s Weight]]))))</f>
        <v/>
      </c>
      <c r="K113" s="25">
        <f>VLOOKUP(METLTask1[[#This Row],[Commander''s Assessment]],Table216[],2,FALSE)*(1-(($I$104:$I$113-1)*(100/MAX($I$104:$I$113)/100)))</f>
        <v>0.01</v>
      </c>
      <c r="L113" s="26"/>
      <c r="M113" s="21"/>
      <c r="N113" s="21"/>
      <c r="O113" s="18" t="str">
        <f>IF(ISBLANK(METLTask1[[#This Row],[calc]]),"",IF(METLTask1[[#This Row],[calc]]&gt;=0.66,$A$5,IF(AND(METLTask1[[#This Row],[calc]]&lt;0.66,METLTask1[[#This Row],[calc]]&gt;=0.33),$A$6,IF(METLTask1[[#This Row],[calc]]&lt;0.33,"U"))))</f>
        <v/>
      </c>
      <c r="P113" s="41"/>
    </row>
    <row r="114" spans="5:16" collapsed="1" x14ac:dyDescent="0.3">
      <c r="E114" s="3" t="s">
        <v>5</v>
      </c>
      <c r="F114" s="4">
        <f>SUBTOTAL(109,METLTask1[CDR''s Weight])</f>
        <v>55</v>
      </c>
      <c r="G114" s="4"/>
      <c r="H114" s="36"/>
      <c r="I114" s="5"/>
      <c r="J114" s="5">
        <f>SUBTOTAL(109,METLTask1[Total])</f>
        <v>44.09</v>
      </c>
      <c r="K114" s="6">
        <f>METLTask1[[#Totals],[Total]]/METLTask1[[#Totals],[CDR''s Weight]]</f>
        <v>0.8016363636363637</v>
      </c>
      <c r="L114" s="3"/>
      <c r="M114" s="3"/>
      <c r="N114" s="3"/>
      <c r="O114" s="3"/>
      <c r="P114" s="40"/>
    </row>
  </sheetData>
  <conditionalFormatting sqref="O15 D3 G4:H15 O4">
    <cfRule type="cellIs" dxfId="384" priority="52" operator="equal">
      <formula>"u"</formula>
    </cfRule>
    <cfRule type="cellIs" dxfId="383" priority="53" operator="equal">
      <formula>"T"</formula>
    </cfRule>
    <cfRule type="cellIs" dxfId="382" priority="54" operator="equal">
      <formula>"P"</formula>
    </cfRule>
  </conditionalFormatting>
  <conditionalFormatting sqref="G16:H25">
    <cfRule type="cellIs" dxfId="381" priority="49" operator="equal">
      <formula>"u"</formula>
    </cfRule>
    <cfRule type="cellIs" dxfId="380" priority="50" operator="equal">
      <formula>"T"</formula>
    </cfRule>
    <cfRule type="cellIs" dxfId="379" priority="51" operator="equal">
      <formula>"P"</formula>
    </cfRule>
  </conditionalFormatting>
  <conditionalFormatting sqref="O26 G26:H26">
    <cfRule type="cellIs" dxfId="378" priority="46" operator="equal">
      <formula>"u"</formula>
    </cfRule>
    <cfRule type="cellIs" dxfId="377" priority="47" operator="equal">
      <formula>"T"</formula>
    </cfRule>
    <cfRule type="cellIs" dxfId="376" priority="48" operator="equal">
      <formula>"P"</formula>
    </cfRule>
  </conditionalFormatting>
  <conditionalFormatting sqref="G27:H36">
    <cfRule type="cellIs" dxfId="375" priority="43" operator="equal">
      <formula>"u"</formula>
    </cfRule>
    <cfRule type="cellIs" dxfId="374" priority="44" operator="equal">
      <formula>"T"</formula>
    </cfRule>
    <cfRule type="cellIs" dxfId="373" priority="45" operator="equal">
      <formula>"P"</formula>
    </cfRule>
  </conditionalFormatting>
  <conditionalFormatting sqref="O37 G37:H37">
    <cfRule type="cellIs" dxfId="372" priority="40" operator="equal">
      <formula>"u"</formula>
    </cfRule>
    <cfRule type="cellIs" dxfId="371" priority="41" operator="equal">
      <formula>"T"</formula>
    </cfRule>
    <cfRule type="cellIs" dxfId="370" priority="42" operator="equal">
      <formula>"P"</formula>
    </cfRule>
  </conditionalFormatting>
  <conditionalFormatting sqref="G38:H47">
    <cfRule type="cellIs" dxfId="369" priority="37" operator="equal">
      <formula>"u"</formula>
    </cfRule>
    <cfRule type="cellIs" dxfId="368" priority="38" operator="equal">
      <formula>"T"</formula>
    </cfRule>
    <cfRule type="cellIs" dxfId="367" priority="39" operator="equal">
      <formula>"P"</formula>
    </cfRule>
  </conditionalFormatting>
  <conditionalFormatting sqref="O48 G48:H48">
    <cfRule type="cellIs" dxfId="366" priority="34" operator="equal">
      <formula>"u"</formula>
    </cfRule>
    <cfRule type="cellIs" dxfId="365" priority="35" operator="equal">
      <formula>"T"</formula>
    </cfRule>
    <cfRule type="cellIs" dxfId="364" priority="36" operator="equal">
      <formula>"P"</formula>
    </cfRule>
  </conditionalFormatting>
  <conditionalFormatting sqref="G49:H58">
    <cfRule type="cellIs" dxfId="363" priority="31" operator="equal">
      <formula>"u"</formula>
    </cfRule>
    <cfRule type="cellIs" dxfId="362" priority="32" operator="equal">
      <formula>"T"</formula>
    </cfRule>
    <cfRule type="cellIs" dxfId="361" priority="33" operator="equal">
      <formula>"P"</formula>
    </cfRule>
  </conditionalFormatting>
  <conditionalFormatting sqref="O59 G59:H59">
    <cfRule type="cellIs" dxfId="360" priority="28" operator="equal">
      <formula>"u"</formula>
    </cfRule>
    <cfRule type="cellIs" dxfId="359" priority="29" operator="equal">
      <formula>"T"</formula>
    </cfRule>
    <cfRule type="cellIs" dxfId="358" priority="30" operator="equal">
      <formula>"P"</formula>
    </cfRule>
  </conditionalFormatting>
  <conditionalFormatting sqref="G60:H69">
    <cfRule type="cellIs" dxfId="357" priority="25" operator="equal">
      <formula>"u"</formula>
    </cfRule>
    <cfRule type="cellIs" dxfId="356" priority="26" operator="equal">
      <formula>"T"</formula>
    </cfRule>
    <cfRule type="cellIs" dxfId="355" priority="27" operator="equal">
      <formula>"P"</formula>
    </cfRule>
  </conditionalFormatting>
  <conditionalFormatting sqref="O70 G70:H70">
    <cfRule type="cellIs" dxfId="354" priority="22" operator="equal">
      <formula>"u"</formula>
    </cfRule>
    <cfRule type="cellIs" dxfId="353" priority="23" operator="equal">
      <formula>"T"</formula>
    </cfRule>
    <cfRule type="cellIs" dxfId="352" priority="24" operator="equal">
      <formula>"P"</formula>
    </cfRule>
  </conditionalFormatting>
  <conditionalFormatting sqref="G71:H80">
    <cfRule type="cellIs" dxfId="351" priority="19" operator="equal">
      <formula>"u"</formula>
    </cfRule>
    <cfRule type="cellIs" dxfId="350" priority="20" operator="equal">
      <formula>"T"</formula>
    </cfRule>
    <cfRule type="cellIs" dxfId="349" priority="21" operator="equal">
      <formula>"P"</formula>
    </cfRule>
  </conditionalFormatting>
  <conditionalFormatting sqref="O81 G81:H81">
    <cfRule type="cellIs" dxfId="348" priority="16" operator="equal">
      <formula>"u"</formula>
    </cfRule>
    <cfRule type="cellIs" dxfId="347" priority="17" operator="equal">
      <formula>"T"</formula>
    </cfRule>
    <cfRule type="cellIs" dxfId="346" priority="18" operator="equal">
      <formula>"P"</formula>
    </cfRule>
  </conditionalFormatting>
  <conditionalFormatting sqref="G82:H91">
    <cfRule type="cellIs" dxfId="345" priority="13" operator="equal">
      <formula>"u"</formula>
    </cfRule>
    <cfRule type="cellIs" dxfId="344" priority="14" operator="equal">
      <formula>"T"</formula>
    </cfRule>
    <cfRule type="cellIs" dxfId="343" priority="15" operator="equal">
      <formula>"P"</formula>
    </cfRule>
  </conditionalFormatting>
  <conditionalFormatting sqref="O92 G92:H92">
    <cfRule type="cellIs" dxfId="342" priority="10" operator="equal">
      <formula>"u"</formula>
    </cfRule>
    <cfRule type="cellIs" dxfId="341" priority="11" operator="equal">
      <formula>"T"</formula>
    </cfRule>
    <cfRule type="cellIs" dxfId="340" priority="12" operator="equal">
      <formula>"P"</formula>
    </cfRule>
  </conditionalFormatting>
  <conditionalFormatting sqref="G93:H102">
    <cfRule type="cellIs" dxfId="339" priority="7" operator="equal">
      <formula>"u"</formula>
    </cfRule>
    <cfRule type="cellIs" dxfId="338" priority="8" operator="equal">
      <formula>"T"</formula>
    </cfRule>
    <cfRule type="cellIs" dxfId="337" priority="9" operator="equal">
      <formula>"P"</formula>
    </cfRule>
  </conditionalFormatting>
  <conditionalFormatting sqref="O103 G103:H103">
    <cfRule type="cellIs" dxfId="336" priority="4" operator="equal">
      <formula>"u"</formula>
    </cfRule>
    <cfRule type="cellIs" dxfId="335" priority="5" operator="equal">
      <formula>"T"</formula>
    </cfRule>
    <cfRule type="cellIs" dxfId="334" priority="6" operator="equal">
      <formula>"P"</formula>
    </cfRule>
  </conditionalFormatting>
  <conditionalFormatting sqref="G104:H113">
    <cfRule type="cellIs" dxfId="333" priority="1" operator="equal">
      <formula>"u"</formula>
    </cfRule>
    <cfRule type="cellIs" dxfId="332" priority="2" operator="equal">
      <formula>"T"</formula>
    </cfRule>
    <cfRule type="cellIs" dxfId="331" priority="3" operator="equal">
      <formula>"P"</formula>
    </cfRule>
  </conditionalFormatting>
  <dataValidations count="1">
    <dataValidation type="list" allowBlank="1" showInputMessage="1" showErrorMessage="1" sqref="G4:G113">
      <formula1>$A$5:$A$7</formula1>
    </dataValidation>
  </dataValidations>
  <pageMargins left="0.7" right="0.7" top="0.75" bottom="0.75" header="0.3" footer="0.3"/>
  <pageSetup scale="76" orientation="portrait" r:id="rId1"/>
  <colBreaks count="1" manualBreakCount="1">
    <brk id="14" max="1048575" man="1"/>
  </col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topLeftCell="C1" zoomScaleNormal="100" workbookViewId="0">
      <selection activeCell="P3" sqref="P3"/>
    </sheetView>
  </sheetViews>
  <sheetFormatPr defaultRowHeight="14.4" outlineLevelRow="1" x14ac:dyDescent="0.3"/>
  <cols>
    <col min="1" max="2" width="9.88671875" hidden="1" customWidth="1"/>
    <col min="3" max="3" width="4.21875" customWidth="1"/>
    <col min="4" max="4" width="7.5546875" customWidth="1"/>
    <col min="5" max="5" width="26.88671875" customWidth="1"/>
    <col min="6" max="6" width="17.77734375" bestFit="1" customWidth="1"/>
    <col min="7" max="7" width="15.44140625" bestFit="1" customWidth="1"/>
    <col min="8" max="8" width="15.44140625" style="16" hidden="1" customWidth="1"/>
    <col min="9" max="9" width="20.21875" bestFit="1" customWidth="1"/>
    <col min="10" max="10" width="10" hidden="1" customWidth="1"/>
    <col min="11" max="11" width="16.77734375" hidden="1" customWidth="1"/>
    <col min="12" max="12" width="17.109375" hidden="1" customWidth="1"/>
    <col min="13" max="13" width="14.88671875" hidden="1" customWidth="1"/>
    <col min="14" max="14" width="6.5546875" hidden="1" customWidth="1"/>
    <col min="15" max="15" width="26.44140625" bestFit="1" customWidth="1"/>
    <col min="16" max="16" width="25.77734375" style="9" customWidth="1"/>
    <col min="17" max="17" width="10.109375" style="9" bestFit="1" customWidth="1"/>
    <col min="18" max="18" width="13.88671875" style="9" customWidth="1"/>
    <col min="19" max="21" width="9.109375" style="9"/>
  </cols>
  <sheetData>
    <row r="1" spans="1:16" ht="22.5" customHeight="1" x14ac:dyDescent="0.3">
      <c r="C1" s="8"/>
      <c r="D1" s="9"/>
      <c r="E1" s="9"/>
      <c r="F1" s="9"/>
      <c r="G1" s="9"/>
      <c r="H1" s="15"/>
      <c r="I1" s="9"/>
      <c r="J1" s="9"/>
      <c r="K1" s="9"/>
      <c r="L1" s="9"/>
      <c r="M1" s="9"/>
      <c r="N1" s="9"/>
      <c r="O1" s="9"/>
    </row>
    <row r="2" spans="1:16" ht="12.75" customHeight="1" x14ac:dyDescent="0.3">
      <c r="C2" s="8"/>
      <c r="D2" t="s">
        <v>12</v>
      </c>
      <c r="E2" s="9"/>
      <c r="F2" s="9"/>
      <c r="G2" s="9"/>
      <c r="H2" s="15"/>
      <c r="I2" s="9"/>
      <c r="J2" s="9"/>
      <c r="K2" s="9"/>
      <c r="L2" s="9"/>
      <c r="M2" s="9"/>
      <c r="N2" s="9"/>
      <c r="O2" s="9"/>
    </row>
    <row r="3" spans="1:16" ht="31.5" customHeight="1" thickBot="1" x14ac:dyDescent="0.35">
      <c r="B3" t="s">
        <v>6</v>
      </c>
      <c r="C3" s="8"/>
      <c r="D3" s="7" t="str">
        <f>IF((SUM(METLTask2[Column1])*10)/(SUM(METLTask2[CDR''s Weight]))&gt;=0.66,$A$5,IF(AND((SUM(METLTask2[Column1])*10)/(SUM(METLTask2[CDR''s Weight]))&lt;0.66,(SUM(METLTask2[Column1])*10)/(SUM(METLTask2[CDR''s Weight]))&gt;=0.33),$A$6,$A$7))</f>
        <v>T</v>
      </c>
      <c r="E3" s="19" t="s">
        <v>35</v>
      </c>
      <c r="F3" s="20" t="s">
        <v>0</v>
      </c>
      <c r="G3" s="20" t="s">
        <v>25</v>
      </c>
      <c r="H3" s="35" t="s">
        <v>19</v>
      </c>
      <c r="I3" s="20" t="s">
        <v>17</v>
      </c>
      <c r="J3" s="20" t="s">
        <v>4</v>
      </c>
      <c r="K3" s="21" t="s">
        <v>7</v>
      </c>
      <c r="L3" s="21" t="s">
        <v>8</v>
      </c>
      <c r="M3" s="21" t="s">
        <v>9</v>
      </c>
      <c r="N3" s="21" t="s">
        <v>10</v>
      </c>
      <c r="O3" s="1" t="s">
        <v>11</v>
      </c>
      <c r="P3" s="42" t="s">
        <v>43</v>
      </c>
    </row>
    <row r="4" spans="1:16" ht="15.45" customHeight="1" thickBot="1" x14ac:dyDescent="0.35">
      <c r="A4" t="s">
        <v>19</v>
      </c>
      <c r="B4" t="s">
        <v>20</v>
      </c>
      <c r="C4" s="8"/>
      <c r="D4" s="37">
        <f>(SUM(METLTask2[Column1])*10)/(SUM(METLTask2[CDR''s Weight]))</f>
        <v>0.69327272727272715</v>
      </c>
      <c r="E4" s="22" t="s">
        <v>34</v>
      </c>
      <c r="F4" s="20">
        <v>1</v>
      </c>
      <c r="G4" s="34" t="s">
        <v>1</v>
      </c>
      <c r="H4" s="35">
        <f>IF(ISBLANK(METLTask2[[#This Row],[CDR''s Weight]]),"",VLOOKUP(METLTask2[[#This Row],[Commander''s Assessment]],Table2[],2,FALSE)*(1-(METLTask2[CDR''s Weight]-1)*(100/MAX(METLTask2[CDR''s Weight])/100)))</f>
        <v>1</v>
      </c>
      <c r="I4" s="23"/>
      <c r="J4" s="24">
        <f>IF(ISNUMBER(SEARCH("→",METLTask2[[#This Row],[METL Task 2]])),"",IF(G4=$A$5,$B$5*METLTask2[[#This Row],[CDR''s Weight]],IF(G4=$A$6,$B$6*METLTask2[[#This Row],[CDR''s Weight]],IF(G4=$A$7,$B$7*METLTask2[[#This Row],[CDR''s Weight]]))))</f>
        <v>1</v>
      </c>
      <c r="K4" s="25" t="str">
        <f>IF(ISNUMBER(METLTask2[[#This Row],[Total]]),"",VLOOKUP(METLTask2[[#This Row],[Commander''s Assessment]],Table2[],2,FALSE)*(1-(($I$5:$I$14-1)*(100/MAX($I$5:$I$14)/100))))</f>
        <v/>
      </c>
      <c r="L4" s="26">
        <f>SUM(I5:I14)</f>
        <v>55</v>
      </c>
      <c r="M4" s="25">
        <f>SUM(K5:K14)*10</f>
        <v>37.61</v>
      </c>
      <c r="N4" s="25">
        <f>(SUM(K5:K14)*10)/(SUM(I5:I14))</f>
        <v>0.68381818181818177</v>
      </c>
      <c r="O4" s="2" t="str">
        <f>IF(ISBLANK(METLTask2[[#This Row],[calc]]),"",IF(METLTask2[[#This Row],[calc]]&gt;=0.66,$A$5,IF(AND(METLTask2[[#This Row],[calc]]&lt;0.66,METLTask2[[#This Row],[calc]]&gt;=0.33),$A$6,IF(METLTask2[[#This Row],[calc]]&lt;0.33,"U"))))</f>
        <v>T</v>
      </c>
      <c r="P4" s="44"/>
    </row>
    <row r="5" spans="1:16" hidden="1" outlineLevel="1" x14ac:dyDescent="0.3">
      <c r="A5" t="s">
        <v>1</v>
      </c>
      <c r="B5" s="14">
        <v>1</v>
      </c>
      <c r="C5" s="8"/>
      <c r="D5" s="9"/>
      <c r="E5" s="27" t="s">
        <v>33</v>
      </c>
      <c r="F5" s="32"/>
      <c r="G5" s="20" t="s">
        <v>2</v>
      </c>
      <c r="H5" s="35" t="str">
        <f>IF(ISBLANK(METLTask2[[#This Row],[CDR''s Weight]]),"",VLOOKUP(METLTask2[[#This Row],[Commander''s Assessment]],Table2[],2,FALSE)*(1-(METLTask2[CDR''s Weight]-1)*(100/MAX(METLTask2[CDR''s Weight])/100)))</f>
        <v/>
      </c>
      <c r="I5" s="28">
        <v>2</v>
      </c>
      <c r="J5" s="24" t="str">
        <f>IF(ISNUMBER(SEARCH("→",METLTask2[[#This Row],[METL Task 2]])),"",IF(G5=$A$5,$B$5*METLTask2[[#This Row],[CDR''s Weight]],IF(G5=$A$6,$B$6*METLTask2[[#This Row],[CDR''s Weight]],IF(G5=$A$7,$B$7*METLTask2[[#This Row],[CDR''s Weight]]))))</f>
        <v/>
      </c>
      <c r="K5" s="25">
        <f>VLOOKUP(METLTask2[[#This Row],[Commander''s Assessment]],Table2[],2,FALSE)*(1-(($I$5:$I$14-1)*(100/MAX($I$5:$I$14)/100)))</f>
        <v>0.45</v>
      </c>
      <c r="L5" s="26"/>
      <c r="M5" s="25"/>
      <c r="N5" s="25"/>
      <c r="O5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5" s="44"/>
    </row>
    <row r="6" spans="1:16" ht="16.649999999999999" hidden="1" customHeight="1" outlineLevel="1" x14ac:dyDescent="0.3">
      <c r="A6" t="s">
        <v>2</v>
      </c>
      <c r="B6" s="14">
        <v>0.5</v>
      </c>
      <c r="C6" s="8"/>
      <c r="D6" s="9"/>
      <c r="E6" s="27" t="s">
        <v>24</v>
      </c>
      <c r="F6" s="32"/>
      <c r="G6" s="20" t="s">
        <v>1</v>
      </c>
      <c r="H6" s="35" t="str">
        <f>IF(ISBLANK(METLTask2[[#This Row],[CDR''s Weight]]),"",VLOOKUP(METLTask2[[#This Row],[Commander''s Assessment]],Table2[],2,FALSE)*(1-(METLTask2[CDR''s Weight]-1)*(100/MAX(METLTask2[CDR''s Weight])/100)))</f>
        <v/>
      </c>
      <c r="I6" s="28">
        <v>3</v>
      </c>
      <c r="J6" s="24" t="str">
        <f>IF(ISNUMBER(SEARCH("→",METLTask2[[#This Row],[METL Task 2]])),"",IF(G6=$A$5,$B$5*METLTask2[[#This Row],[CDR''s Weight]],IF(G6=$A$6,$B$6*METLTask2[[#This Row],[CDR''s Weight]],IF(G6=$A$7,$B$7*METLTask2[[#This Row],[CDR''s Weight]]))))</f>
        <v/>
      </c>
      <c r="K6" s="25">
        <f>VLOOKUP(METLTask2[[#This Row],[Commander''s Assessment]],Table2[],2,FALSE)*(1-(($I$5:$I$14-1)*(100/MAX($I$5:$I$14)/100)))</f>
        <v>0.8</v>
      </c>
      <c r="L6" s="26"/>
      <c r="M6" s="25"/>
      <c r="N6" s="25"/>
      <c r="O6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6" s="44"/>
    </row>
    <row r="7" spans="1:16" hidden="1" outlineLevel="1" x14ac:dyDescent="0.3">
      <c r="A7" t="s">
        <v>3</v>
      </c>
      <c r="B7" s="14">
        <v>0.01</v>
      </c>
      <c r="C7" s="8"/>
      <c r="D7" s="9"/>
      <c r="E7" s="27" t="s">
        <v>24</v>
      </c>
      <c r="F7" s="32"/>
      <c r="G7" s="20" t="s">
        <v>1</v>
      </c>
      <c r="H7" s="35" t="str">
        <f>IF(ISBLANK(METLTask2[[#This Row],[CDR''s Weight]]),"",VLOOKUP(METLTask2[[#This Row],[Commander''s Assessment]],Table2[],2,FALSE)*(1-(METLTask2[CDR''s Weight]-1)*(100/MAX(METLTask2[CDR''s Weight])/100)))</f>
        <v/>
      </c>
      <c r="I7" s="28">
        <v>4</v>
      </c>
      <c r="J7" s="24" t="str">
        <f>IF(ISNUMBER(SEARCH("→",METLTask2[[#This Row],[METL Task 2]])),"",IF(G7=$A$5,$B$5*METLTask2[[#This Row],[CDR''s Weight]],IF(G7=$A$6,$B$6*METLTask2[[#This Row],[CDR''s Weight]],IF(G7=$A$7,$B$7*METLTask2[[#This Row],[CDR''s Weight]]))))</f>
        <v/>
      </c>
      <c r="K7" s="25">
        <f>VLOOKUP(METLTask2[[#This Row],[Commander''s Assessment]],Table2[],2,FALSE)*(1-(($I$5:$I$14-1)*(100/MAX($I$5:$I$14)/100)))</f>
        <v>0.7</v>
      </c>
      <c r="L7" s="26"/>
      <c r="M7" s="25"/>
      <c r="N7" s="25"/>
      <c r="O7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7" s="44"/>
    </row>
    <row r="8" spans="1:16" hidden="1" outlineLevel="1" x14ac:dyDescent="0.3">
      <c r="C8" s="8"/>
      <c r="D8" s="9"/>
      <c r="E8" s="27" t="s">
        <v>24</v>
      </c>
      <c r="F8" s="33"/>
      <c r="G8" s="20" t="s">
        <v>1</v>
      </c>
      <c r="H8" s="35" t="str">
        <f>IF(ISBLANK(METLTask2[[#This Row],[CDR''s Weight]]),"",VLOOKUP(METLTask2[[#This Row],[Commander''s Assessment]],Table2[],2,FALSE)*(1-(METLTask2[CDR''s Weight]-1)*(100/MAX(METLTask2[CDR''s Weight])/100)))</f>
        <v/>
      </c>
      <c r="I8" s="28">
        <v>5</v>
      </c>
      <c r="J8" s="24" t="str">
        <f>IF(ISNUMBER(SEARCH("→",METLTask2[[#This Row],[METL Task 2]])),"",IF(G8=$A$5,$B$5*METLTask2[[#This Row],[CDR''s Weight]],IF(G8=$A$6,$B$6*METLTask2[[#This Row],[CDR''s Weight]],IF(G8=$A$7,$B$7*METLTask2[[#This Row],[CDR''s Weight]]))))</f>
        <v/>
      </c>
      <c r="K8" s="25">
        <f>VLOOKUP(METLTask2[[#This Row],[Commander''s Assessment]],Table2[],2,FALSE)*(1-(($I$5:$I$14-1)*(100/MAX($I$5:$I$14)/100)))</f>
        <v>0.6</v>
      </c>
      <c r="L8" s="26"/>
      <c r="M8" s="25"/>
      <c r="N8" s="25"/>
      <c r="O8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8" s="44"/>
    </row>
    <row r="9" spans="1:16" hidden="1" outlineLevel="1" x14ac:dyDescent="0.3">
      <c r="C9" s="8"/>
      <c r="D9" s="9"/>
      <c r="E9" s="27" t="s">
        <v>24</v>
      </c>
      <c r="F9" s="33"/>
      <c r="G9" s="20" t="s">
        <v>1</v>
      </c>
      <c r="H9" s="35" t="str">
        <f>IF(ISBLANK(METLTask2[[#This Row],[CDR''s Weight]]),"",VLOOKUP(METLTask2[[#This Row],[Commander''s Assessment]],Table2[],2,FALSE)*(1-(METLTask2[CDR''s Weight]-1)*(100/MAX(METLTask2[CDR''s Weight])/100)))</f>
        <v/>
      </c>
      <c r="I9" s="28">
        <v>6</v>
      </c>
      <c r="J9" s="24" t="str">
        <f>IF(ISNUMBER(SEARCH("→",METLTask2[[#This Row],[METL Task 2]])),"",IF(G9=$A$5,$B$5*METLTask2[[#This Row],[CDR''s Weight]],IF(G9=$A$6,$B$6*METLTask2[[#This Row],[CDR''s Weight]],IF(G9=$A$7,$B$7*METLTask2[[#This Row],[CDR''s Weight]]))))</f>
        <v/>
      </c>
      <c r="K9" s="25">
        <f>VLOOKUP(METLTask2[[#This Row],[Commander''s Assessment]],Table2[],2,FALSE)*(1-(($I$5:$I$14-1)*(100/MAX($I$5:$I$14)/100)))</f>
        <v>0.5</v>
      </c>
      <c r="L9" s="26"/>
      <c r="M9" s="25"/>
      <c r="N9" s="25"/>
      <c r="O9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9" s="44"/>
    </row>
    <row r="10" spans="1:16" hidden="1" outlineLevel="1" x14ac:dyDescent="0.3">
      <c r="C10" s="8"/>
      <c r="D10" s="9"/>
      <c r="E10" s="27" t="s">
        <v>24</v>
      </c>
      <c r="F10" s="31"/>
      <c r="G10" s="20" t="s">
        <v>2</v>
      </c>
      <c r="H10" s="35" t="str">
        <f>IF(ISBLANK(METLTask2[[#This Row],[CDR''s Weight]]),"",VLOOKUP(METLTask2[[#This Row],[Commander''s Assessment]],Table2[],2,FALSE)*(1-(METLTask2[CDR''s Weight]-1)*(100/MAX(METLTask2[CDR''s Weight])/100)))</f>
        <v/>
      </c>
      <c r="I10" s="28">
        <v>7</v>
      </c>
      <c r="J10" s="24" t="str">
        <f>IF(ISNUMBER(SEARCH("→",METLTask2[[#This Row],[METL Task 2]])),"",IF(G10=$A$5,$B$5*METLTask2[[#This Row],[CDR''s Weight]],IF(G10=$A$6,$B$6*METLTask2[[#This Row],[CDR''s Weight]],IF(G10=$A$7,$B$7*METLTask2[[#This Row],[CDR''s Weight]]))))</f>
        <v/>
      </c>
      <c r="K10" s="25">
        <f>VLOOKUP(METLTask2[[#This Row],[Commander''s Assessment]],Table2[],2,FALSE)*(1-(($I$5:$I$14-1)*(100/MAX($I$5:$I$14)/100)))</f>
        <v>0.19999999999999996</v>
      </c>
      <c r="L10" s="26"/>
      <c r="M10" s="25"/>
      <c r="N10" s="25"/>
      <c r="O10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0" s="44"/>
    </row>
    <row r="11" spans="1:16" hidden="1" outlineLevel="1" x14ac:dyDescent="0.3">
      <c r="C11" s="8"/>
      <c r="D11" s="9"/>
      <c r="E11" s="27" t="s">
        <v>24</v>
      </c>
      <c r="F11" s="31"/>
      <c r="G11" s="20" t="s">
        <v>1</v>
      </c>
      <c r="H11" s="35" t="str">
        <f>IF(ISBLANK(METLTask2[[#This Row],[CDR''s Weight]]),"",VLOOKUP(METLTask2[[#This Row],[Commander''s Assessment]],Table2[],2,FALSE)*(1-(METLTask2[CDR''s Weight]-1)*(100/MAX(METLTask2[CDR''s Weight])/100)))</f>
        <v/>
      </c>
      <c r="I11" s="28">
        <v>8</v>
      </c>
      <c r="J11" s="24" t="str">
        <f>IF(ISNUMBER(SEARCH("→",METLTask2[[#This Row],[METL Task 2]])),"",IF(G11=$A$5,$B$5*METLTask2[[#This Row],[CDR''s Weight]],IF(G11=$A$6,$B$6*METLTask2[[#This Row],[CDR''s Weight]],IF(G11=$A$7,$B$7*METLTask2[[#This Row],[CDR''s Weight]]))))</f>
        <v/>
      </c>
      <c r="K11" s="25">
        <f>VLOOKUP(METLTask2[[#This Row],[Commander''s Assessment]],Table2[],2,FALSE)*(1-(($I$5:$I$14-1)*(100/MAX($I$5:$I$14)/100)))</f>
        <v>0.29999999999999993</v>
      </c>
      <c r="L11" s="26"/>
      <c r="M11" s="25"/>
      <c r="N11" s="25"/>
      <c r="O11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1" s="44"/>
    </row>
    <row r="12" spans="1:16" hidden="1" outlineLevel="1" x14ac:dyDescent="0.3">
      <c r="C12" s="8"/>
      <c r="D12" s="9"/>
      <c r="E12" s="27" t="s">
        <v>24</v>
      </c>
      <c r="F12" s="31"/>
      <c r="G12" s="20" t="s">
        <v>1</v>
      </c>
      <c r="H12" s="35" t="str">
        <f>IF(ISBLANK(METLTask2[[#This Row],[CDR''s Weight]]),"",VLOOKUP(METLTask2[[#This Row],[Commander''s Assessment]],Table2[],2,FALSE)*(1-(METLTask2[CDR''s Weight]-1)*(100/MAX(METLTask2[CDR''s Weight])/100)))</f>
        <v/>
      </c>
      <c r="I12" s="28">
        <v>9</v>
      </c>
      <c r="J12" s="24" t="str">
        <f>IF(ISNUMBER(SEARCH("→",METLTask2[[#This Row],[METL Task 2]])),"",IF(G12=$A$5,$B$5*METLTask2[[#This Row],[CDR''s Weight]],IF(G12=$A$6,$B$6*METLTask2[[#This Row],[CDR''s Weight]],IF(G12=$A$7,$B$7*METLTask2[[#This Row],[CDR''s Weight]]))))</f>
        <v/>
      </c>
      <c r="K12" s="25">
        <f>VLOOKUP(METLTask2[[#This Row],[Commander''s Assessment]],Table2[],2,FALSE)*(1-(($I$5:$I$14-1)*(100/MAX($I$5:$I$14)/100)))</f>
        <v>0.19999999999999996</v>
      </c>
      <c r="L12" s="26"/>
      <c r="M12" s="25"/>
      <c r="N12" s="25"/>
      <c r="O12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2" s="44"/>
    </row>
    <row r="13" spans="1:16" hidden="1" outlineLevel="1" x14ac:dyDescent="0.3">
      <c r="C13" s="8"/>
      <c r="D13" s="9"/>
      <c r="E13" s="27" t="s">
        <v>24</v>
      </c>
      <c r="F13" s="31"/>
      <c r="G13" s="20" t="s">
        <v>3</v>
      </c>
      <c r="H13" s="35" t="str">
        <f>IF(ISBLANK(METLTask2[[#This Row],[CDR''s Weight]]),"",VLOOKUP(METLTask2[[#This Row],[Commander''s Assessment]],Table2[],2,FALSE)*(1-(METLTask2[CDR''s Weight]-1)*(100/MAX(METLTask2[CDR''s Weight])/100)))</f>
        <v/>
      </c>
      <c r="I13" s="28">
        <v>10</v>
      </c>
      <c r="J13" s="24" t="str">
        <f>IF(ISNUMBER(SEARCH("→",METLTask2[[#This Row],[METL Task 2]])),"",IF(G13=$A$5,$B$5*METLTask2[[#This Row],[CDR''s Weight]],IF(G13=$A$6,$B$6*METLTask2[[#This Row],[CDR''s Weight]],IF(G13=$A$7,$B$7*METLTask2[[#This Row],[CDR''s Weight]]))))</f>
        <v/>
      </c>
      <c r="K13" s="25">
        <f>VLOOKUP(METLTask2[[#This Row],[Commander''s Assessment]],Table2[],2,FALSE)*(1-(($I$5:$I$14-1)*(100/MAX($I$5:$I$14)/100)))</f>
        <v>9.999999999999998E-4</v>
      </c>
      <c r="L13" s="26"/>
      <c r="M13" s="25"/>
      <c r="N13" s="25"/>
      <c r="O13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3" s="44"/>
    </row>
    <row r="14" spans="1:16" hidden="1" outlineLevel="1" x14ac:dyDescent="0.3">
      <c r="C14" s="8"/>
      <c r="D14" s="9"/>
      <c r="E14" s="27" t="s">
        <v>24</v>
      </c>
      <c r="F14" s="30"/>
      <c r="G14" s="20" t="s">
        <v>3</v>
      </c>
      <c r="H14" s="35" t="str">
        <f>IF(ISBLANK(METLTask2[[#This Row],[CDR''s Weight]]),"",VLOOKUP(METLTask2[[#This Row],[Commander''s Assessment]],Table2[],2,FALSE)*(1-(METLTask2[CDR''s Weight]-1)*(100/MAX(METLTask2[CDR''s Weight])/100)))</f>
        <v/>
      </c>
      <c r="I14" s="29">
        <v>1</v>
      </c>
      <c r="J14" s="24" t="str">
        <f>IF(ISNUMBER(SEARCH("→",METLTask2[[#This Row],[METL Task 2]])),"",IF(G14=$A$5,$B$5*METLTask2[[#This Row],[CDR''s Weight]],IF(G14=$A$6,$B$6*METLTask2[[#This Row],[CDR''s Weight]],IF(G14=$A$7,$B$7*METLTask2[[#This Row],[CDR''s Weight]]))))</f>
        <v/>
      </c>
      <c r="K14" s="25">
        <f>VLOOKUP(METLTask2[[#This Row],[Commander''s Assessment]],Table2[],2,FALSE)*(1-(($I$5:$I$14-1)*(100/MAX($I$5:$I$14)/100)))</f>
        <v>0.01</v>
      </c>
      <c r="L14" s="26"/>
      <c r="M14" s="21"/>
      <c r="N14" s="21"/>
      <c r="O14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4" s="44"/>
    </row>
    <row r="15" spans="1:16" collapsed="1" x14ac:dyDescent="0.3">
      <c r="C15" s="8"/>
      <c r="D15" s="9"/>
      <c r="E15" s="22" t="s">
        <v>16</v>
      </c>
      <c r="F15" s="20">
        <v>2</v>
      </c>
      <c r="G15" s="20" t="s">
        <v>1</v>
      </c>
      <c r="H15" s="35">
        <f>IF(ISBLANK(METLTask2[[#This Row],[CDR''s Weight]]),"",VLOOKUP(METLTask2[[#This Row],[Commander''s Assessment]],Table2[],2,FALSE)*(1-(METLTask2[CDR''s Weight]-1)*(100/MAX(METLTask2[CDR''s Weight])/100)))</f>
        <v>0.9</v>
      </c>
      <c r="I15" s="23"/>
      <c r="J15" s="24">
        <f>IF(ISNUMBER(SEARCH("→",METLTask2[[#This Row],[METL Task 2]])),"",IF(G15=$A$5,$B$5*METLTask2[[#This Row],[CDR''s Weight]],IF(G15=$A$6,$B$6*METLTask2[[#This Row],[CDR''s Weight]],IF(G15=$A$7,$B$7*METLTask2[[#This Row],[CDR''s Weight]]))))</f>
        <v>2</v>
      </c>
      <c r="K15" s="25" t="str">
        <f>IF(ISNUMBER(METLTask2[[#This Row],[Total]]),"",VLOOKUP(METLTask2[[#This Row],[Commander''s Assessment]],Table2[],2,FALSE)*(1-(($I$16:$I$25-1)*(100/MAX($I$16:$I$25)/100))))</f>
        <v/>
      </c>
      <c r="L15" s="26">
        <f>SUM(I16:I25)</f>
        <v>55</v>
      </c>
      <c r="M15" s="25">
        <f>SUM(K16:K25)*10</f>
        <v>33.609999999999992</v>
      </c>
      <c r="N15" s="25">
        <f>METLTask2[[#This Row],[New SB Total]]/METLTask2[[#This Row],[New SB Weight]]</f>
        <v>0.61109090909090891</v>
      </c>
      <c r="O15" s="2" t="str">
        <f>IF(ISBLANK(METLTask2[[#This Row],[calc]]),"",IF(METLTask2[[#This Row],[calc]]&gt;=0.66,$A$5,IF(AND(METLTask2[[#This Row],[calc]]&lt;0.66,METLTask2[[#This Row],[calc]]&gt;=0.33),$A$6,IF(METLTask2[[#This Row],[calc]]&lt;0.33,"U"))))</f>
        <v>P</v>
      </c>
      <c r="P15" s="44"/>
    </row>
    <row r="16" spans="1:16" hidden="1" outlineLevel="1" x14ac:dyDescent="0.3">
      <c r="B16" s="14"/>
      <c r="C16" s="8"/>
      <c r="D16" s="9"/>
      <c r="E16" s="27" t="s">
        <v>33</v>
      </c>
      <c r="F16" s="33"/>
      <c r="G16" s="20" t="s">
        <v>2</v>
      </c>
      <c r="H16" s="35" t="str">
        <f>IF(ISBLANK(METLTask2[[#This Row],[CDR''s Weight]]),"",VLOOKUP(METLTask2[[#This Row],[Commander''s Assessment]],Table2[],2,FALSE)*(1-(METLTask2[CDR''s Weight]-1)*(100/MAX(METLTask2[CDR''s Weight])/100)))</f>
        <v/>
      </c>
      <c r="I16" s="28">
        <v>2</v>
      </c>
      <c r="J16" s="24" t="str">
        <f>IF(ISNUMBER(SEARCH("→",METLTask2[[#This Row],[METL Task 2]])),"",IF(G16=$A$5,$B$5*METLTask2[[#This Row],[CDR''s Weight]],IF(G16=$A$6,$B$6*METLTask2[[#This Row],[CDR''s Weight]],IF(G16=$A$7,$B$7*METLTask2[[#This Row],[CDR''s Weight]]))))</f>
        <v/>
      </c>
      <c r="K16" s="25">
        <f>VLOOKUP(METLTask2[[#This Row],[Commander''s Assessment]],Table2[],2,FALSE)*(1-(($I$16:$I$25-1)*(100/MAX($I$16:$I$25)/100)))</f>
        <v>0.45</v>
      </c>
      <c r="L16" s="26"/>
      <c r="M16" s="25"/>
      <c r="N16" s="25"/>
      <c r="O16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6" s="44"/>
    </row>
    <row r="17" spans="2:16" ht="16.649999999999999" hidden="1" customHeight="1" outlineLevel="1" x14ac:dyDescent="0.3">
      <c r="B17" s="14"/>
      <c r="C17" s="8"/>
      <c r="D17" s="9"/>
      <c r="E17" s="27" t="s">
        <v>24</v>
      </c>
      <c r="F17" s="33"/>
      <c r="G17" s="20" t="s">
        <v>2</v>
      </c>
      <c r="H17" s="35" t="str">
        <f>IF(ISBLANK(METLTask2[[#This Row],[CDR''s Weight]]),"",VLOOKUP(METLTask2[[#This Row],[Commander''s Assessment]],Table2[],2,FALSE)*(1-(METLTask2[CDR''s Weight]-1)*(100/MAX(METLTask2[CDR''s Weight])/100)))</f>
        <v/>
      </c>
      <c r="I17" s="28">
        <v>3</v>
      </c>
      <c r="J17" s="24" t="str">
        <f>IF(ISNUMBER(SEARCH("→",METLTask2[[#This Row],[METL Task 2]])),"",IF(G17=$A$5,$B$5*METLTask2[[#This Row],[CDR''s Weight]],IF(G17=$A$6,$B$6*METLTask2[[#This Row],[CDR''s Weight]],IF(G17=$A$7,$B$7*METLTask2[[#This Row],[CDR''s Weight]]))))</f>
        <v/>
      </c>
      <c r="K17" s="25">
        <f>VLOOKUP(METLTask2[[#This Row],[Commander''s Assessment]],Table2[],2,FALSE)*(1-(($I$16:$I$25-1)*(100/MAX($I$16:$I$25)/100)))</f>
        <v>0.4</v>
      </c>
      <c r="L17" s="26"/>
      <c r="M17" s="25"/>
      <c r="N17" s="25"/>
      <c r="O17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7" s="44"/>
    </row>
    <row r="18" spans="2:16" hidden="1" outlineLevel="1" x14ac:dyDescent="0.3">
      <c r="B18" s="14"/>
      <c r="C18" s="8"/>
      <c r="D18" s="9"/>
      <c r="E18" s="27" t="s">
        <v>24</v>
      </c>
      <c r="F18" s="31"/>
      <c r="G18" s="20" t="s">
        <v>1</v>
      </c>
      <c r="H18" s="35" t="str">
        <f>IF(ISBLANK(METLTask2[[#This Row],[CDR''s Weight]]),"",VLOOKUP(METLTask2[[#This Row],[Commander''s Assessment]],Table2[],2,FALSE)*(1-(METLTask2[CDR''s Weight]-1)*(100/MAX(METLTask2[CDR''s Weight])/100)))</f>
        <v/>
      </c>
      <c r="I18" s="28">
        <v>4</v>
      </c>
      <c r="J18" s="24" t="str">
        <f>IF(ISNUMBER(SEARCH("→",METLTask2[[#This Row],[METL Task 2]])),"",IF(G18=$A$5,$B$5*METLTask2[[#This Row],[CDR''s Weight]],IF(G18=$A$6,$B$6*METLTask2[[#This Row],[CDR''s Weight]],IF(G18=$A$7,$B$7*METLTask2[[#This Row],[CDR''s Weight]]))))</f>
        <v/>
      </c>
      <c r="K18" s="25">
        <f>VLOOKUP(METLTask2[[#This Row],[Commander''s Assessment]],Table2[],2,FALSE)*(1-(($I$16:$I$25-1)*(100/MAX($I$16:$I$25)/100)))</f>
        <v>0.7</v>
      </c>
      <c r="L18" s="26"/>
      <c r="M18" s="25"/>
      <c r="N18" s="25"/>
      <c r="O18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8" s="44"/>
    </row>
    <row r="19" spans="2:16" hidden="1" outlineLevel="1" x14ac:dyDescent="0.3">
      <c r="C19" s="8"/>
      <c r="D19" s="9"/>
      <c r="E19" s="27" t="s">
        <v>24</v>
      </c>
      <c r="F19" s="33"/>
      <c r="G19" s="20" t="s">
        <v>1</v>
      </c>
      <c r="H19" s="35" t="str">
        <f>IF(ISBLANK(METLTask2[[#This Row],[CDR''s Weight]]),"",VLOOKUP(METLTask2[[#This Row],[Commander''s Assessment]],Table2[],2,FALSE)*(1-(METLTask2[CDR''s Weight]-1)*(100/MAX(METLTask2[CDR''s Weight])/100)))</f>
        <v/>
      </c>
      <c r="I19" s="28">
        <v>5</v>
      </c>
      <c r="J19" s="24" t="str">
        <f>IF(ISNUMBER(SEARCH("→",METLTask2[[#This Row],[METL Task 2]])),"",IF(G19=$A$5,$B$5*METLTask2[[#This Row],[CDR''s Weight]],IF(G19=$A$6,$B$6*METLTask2[[#This Row],[CDR''s Weight]],IF(G19=$A$7,$B$7*METLTask2[[#This Row],[CDR''s Weight]]))))</f>
        <v/>
      </c>
      <c r="K19" s="25">
        <f>VLOOKUP(METLTask2[[#This Row],[Commander''s Assessment]],Table2[],2,FALSE)*(1-(($I$16:$I$25-1)*(100/MAX($I$16:$I$25)/100)))</f>
        <v>0.6</v>
      </c>
      <c r="L19" s="26"/>
      <c r="M19" s="25"/>
      <c r="N19" s="25"/>
      <c r="O19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9" s="44"/>
    </row>
    <row r="20" spans="2:16" hidden="1" outlineLevel="1" x14ac:dyDescent="0.3">
      <c r="C20" s="8"/>
      <c r="D20" s="9"/>
      <c r="E20" s="27" t="s">
        <v>24</v>
      </c>
      <c r="F20" s="33"/>
      <c r="G20" s="20" t="s">
        <v>1</v>
      </c>
      <c r="H20" s="35" t="str">
        <f>IF(ISBLANK(METLTask2[[#This Row],[CDR''s Weight]]),"",VLOOKUP(METLTask2[[#This Row],[Commander''s Assessment]],Table2[],2,FALSE)*(1-(METLTask2[CDR''s Weight]-1)*(100/MAX(METLTask2[CDR''s Weight])/100)))</f>
        <v/>
      </c>
      <c r="I20" s="28">
        <v>6</v>
      </c>
      <c r="J20" s="24" t="str">
        <f>IF(ISNUMBER(SEARCH("→",METLTask2[[#This Row],[METL Task 2]])),"",IF(G20=$A$5,$B$5*METLTask2[[#This Row],[CDR''s Weight]],IF(G20=$A$6,$B$6*METLTask2[[#This Row],[CDR''s Weight]],IF(G20=$A$7,$B$7*METLTask2[[#This Row],[CDR''s Weight]]))))</f>
        <v/>
      </c>
      <c r="K20" s="25">
        <f>VLOOKUP(METLTask2[[#This Row],[Commander''s Assessment]],Table2[],2,FALSE)*(1-(($I$16:$I$25-1)*(100/MAX($I$16:$I$25)/100)))</f>
        <v>0.5</v>
      </c>
      <c r="L20" s="26"/>
      <c r="M20" s="25"/>
      <c r="N20" s="25"/>
      <c r="O20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20" s="44"/>
    </row>
    <row r="21" spans="2:16" hidden="1" outlineLevel="1" x14ac:dyDescent="0.3">
      <c r="C21" s="8"/>
      <c r="D21" s="9"/>
      <c r="E21" s="27" t="s">
        <v>24</v>
      </c>
      <c r="F21" s="33"/>
      <c r="G21" s="20" t="s">
        <v>2</v>
      </c>
      <c r="H21" s="35" t="str">
        <f>IF(ISBLANK(METLTask2[[#This Row],[CDR''s Weight]]),"",VLOOKUP(METLTask2[[#This Row],[Commander''s Assessment]],Table2[],2,FALSE)*(1-(METLTask2[CDR''s Weight]-1)*(100/MAX(METLTask2[CDR''s Weight])/100)))</f>
        <v/>
      </c>
      <c r="I21" s="28">
        <v>7</v>
      </c>
      <c r="J21" s="24" t="str">
        <f>IF(ISNUMBER(SEARCH("→",METLTask2[[#This Row],[METL Task 2]])),"",IF(G21=$A$5,$B$5*METLTask2[[#This Row],[CDR''s Weight]],IF(G21=$A$6,$B$6*METLTask2[[#This Row],[CDR''s Weight]],IF(G21=$A$7,$B$7*METLTask2[[#This Row],[CDR''s Weight]]))))</f>
        <v/>
      </c>
      <c r="K21" s="25">
        <f>VLOOKUP(METLTask2[[#This Row],[Commander''s Assessment]],Table2[],2,FALSE)*(1-(($I$16:$I$25-1)*(100/MAX($I$16:$I$25)/100)))</f>
        <v>0.19999999999999996</v>
      </c>
      <c r="L21" s="26"/>
      <c r="M21" s="25"/>
      <c r="N21" s="25"/>
      <c r="O21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21" s="44"/>
    </row>
    <row r="22" spans="2:16" hidden="1" outlineLevel="1" x14ac:dyDescent="0.3">
      <c r="C22" s="8"/>
      <c r="D22" s="9"/>
      <c r="E22" s="27" t="s">
        <v>24</v>
      </c>
      <c r="F22" s="33"/>
      <c r="G22" s="20" t="s">
        <v>1</v>
      </c>
      <c r="H22" s="35" t="str">
        <f>IF(ISBLANK(METLTask2[[#This Row],[CDR''s Weight]]),"",VLOOKUP(METLTask2[[#This Row],[Commander''s Assessment]],Table2[],2,FALSE)*(1-(METLTask2[CDR''s Weight]-1)*(100/MAX(METLTask2[CDR''s Weight])/100)))</f>
        <v/>
      </c>
      <c r="I22" s="28">
        <v>8</v>
      </c>
      <c r="J22" s="24" t="str">
        <f>IF(ISNUMBER(SEARCH("→",METLTask2[[#This Row],[METL Task 2]])),"",IF(G22=$A$5,$B$5*METLTask2[[#This Row],[CDR''s Weight]],IF(G22=$A$6,$B$6*METLTask2[[#This Row],[CDR''s Weight]],IF(G22=$A$7,$B$7*METLTask2[[#This Row],[CDR''s Weight]]))))</f>
        <v/>
      </c>
      <c r="K22" s="25">
        <f>VLOOKUP(METLTask2[[#This Row],[Commander''s Assessment]],Table2[],2,FALSE)*(1-(($I$16:$I$25-1)*(100/MAX($I$16:$I$25)/100)))</f>
        <v>0.29999999999999993</v>
      </c>
      <c r="L22" s="26"/>
      <c r="M22" s="25"/>
      <c r="N22" s="25"/>
      <c r="O22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22" s="44"/>
    </row>
    <row r="23" spans="2:16" hidden="1" outlineLevel="1" x14ac:dyDescent="0.3">
      <c r="C23" s="8"/>
      <c r="D23" s="9"/>
      <c r="E23" s="27" t="s">
        <v>24</v>
      </c>
      <c r="F23" s="33"/>
      <c r="G23" s="20" t="s">
        <v>1</v>
      </c>
      <c r="H23" s="35" t="str">
        <f>IF(ISBLANK(METLTask2[[#This Row],[CDR''s Weight]]),"",VLOOKUP(METLTask2[[#This Row],[Commander''s Assessment]],Table2[],2,FALSE)*(1-(METLTask2[CDR''s Weight]-1)*(100/MAX(METLTask2[CDR''s Weight])/100)))</f>
        <v/>
      </c>
      <c r="I23" s="28">
        <v>9</v>
      </c>
      <c r="J23" s="24" t="str">
        <f>IF(ISNUMBER(SEARCH("→",METLTask2[[#This Row],[METL Task 2]])),"",IF(G23=$A$5,$B$5*METLTask2[[#This Row],[CDR''s Weight]],IF(G23=$A$6,$B$6*METLTask2[[#This Row],[CDR''s Weight]],IF(G23=$A$7,$B$7*METLTask2[[#This Row],[CDR''s Weight]]))))</f>
        <v/>
      </c>
      <c r="K23" s="25">
        <f>VLOOKUP(METLTask2[[#This Row],[Commander''s Assessment]],Table2[],2,FALSE)*(1-(($I$16:$I$25-1)*(100/MAX($I$16:$I$25)/100)))</f>
        <v>0.19999999999999996</v>
      </c>
      <c r="L23" s="26"/>
      <c r="M23" s="25"/>
      <c r="N23" s="25"/>
      <c r="O23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23" s="44"/>
    </row>
    <row r="24" spans="2:16" hidden="1" outlineLevel="1" x14ac:dyDescent="0.3">
      <c r="C24" s="8"/>
      <c r="D24" s="9"/>
      <c r="E24" s="27" t="s">
        <v>24</v>
      </c>
      <c r="F24" s="33"/>
      <c r="G24" s="20" t="s">
        <v>3</v>
      </c>
      <c r="H24" s="35" t="str">
        <f>IF(ISBLANK(METLTask2[[#This Row],[CDR''s Weight]]),"",VLOOKUP(METLTask2[[#This Row],[Commander''s Assessment]],Table2[],2,FALSE)*(1-(METLTask2[CDR''s Weight]-1)*(100/MAX(METLTask2[CDR''s Weight])/100)))</f>
        <v/>
      </c>
      <c r="I24" s="28">
        <v>10</v>
      </c>
      <c r="J24" s="24" t="str">
        <f>IF(ISNUMBER(SEARCH("→",METLTask2[[#This Row],[METL Task 2]])),"",IF(G24=$A$5,$B$5*METLTask2[[#This Row],[CDR''s Weight]],IF(G24=$A$6,$B$6*METLTask2[[#This Row],[CDR''s Weight]],IF(G24=$A$7,$B$7*METLTask2[[#This Row],[CDR''s Weight]]))))</f>
        <v/>
      </c>
      <c r="K24" s="25">
        <f>VLOOKUP(METLTask2[[#This Row],[Commander''s Assessment]],Table2[],2,FALSE)*(1-(($I$16:$I$25-1)*(100/MAX($I$16:$I$25)/100)))</f>
        <v>9.999999999999998E-4</v>
      </c>
      <c r="L24" s="26"/>
      <c r="M24" s="25"/>
      <c r="N24" s="25"/>
      <c r="O24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24" s="44"/>
    </row>
    <row r="25" spans="2:16" hidden="1" outlineLevel="1" x14ac:dyDescent="0.3">
      <c r="C25" s="8"/>
      <c r="D25" s="9"/>
      <c r="E25" s="27" t="s">
        <v>24</v>
      </c>
      <c r="F25" s="31"/>
      <c r="G25" s="20" t="s">
        <v>3</v>
      </c>
      <c r="H25" s="35" t="str">
        <f>IF(ISBLANK(METLTask2[[#This Row],[CDR''s Weight]]),"",VLOOKUP(METLTask2[[#This Row],[Commander''s Assessment]],Table2[],2,FALSE)*(1-(METLTask2[CDR''s Weight]-1)*(100/MAX(METLTask2[CDR''s Weight])/100)))</f>
        <v/>
      </c>
      <c r="I25" s="29">
        <v>1</v>
      </c>
      <c r="J25" s="24" t="str">
        <f>IF(ISNUMBER(SEARCH("→",METLTask2[[#This Row],[METL Task 2]])),"",IF(G25=$A$5,$B$5*METLTask2[[#This Row],[CDR''s Weight]],IF(G25=$A$6,$B$6*METLTask2[[#This Row],[CDR''s Weight]],IF(G25=$A$7,$B$7*METLTask2[[#This Row],[CDR''s Weight]]))))</f>
        <v/>
      </c>
      <c r="K25" s="25">
        <f>VLOOKUP(METLTask2[[#This Row],[Commander''s Assessment]],Table2[],2,FALSE)*(1-(($I$16:$I$25-1)*(100/MAX($I$16:$I$25)/100)))</f>
        <v>0.01</v>
      </c>
      <c r="L25" s="26"/>
      <c r="M25" s="21"/>
      <c r="N25" s="21"/>
      <c r="O25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25" s="44"/>
    </row>
    <row r="26" spans="2:16" collapsed="1" x14ac:dyDescent="0.3">
      <c r="E26" s="22" t="s">
        <v>16</v>
      </c>
      <c r="F26" s="20">
        <v>3</v>
      </c>
      <c r="G26" s="20" t="s">
        <v>2</v>
      </c>
      <c r="H26" s="35">
        <f>IF(ISBLANK(METLTask2[[#This Row],[CDR''s Weight]]),"",VLOOKUP(METLTask2[[#This Row],[Commander''s Assessment]],Table2[],2,FALSE)*(1-(METLTask2[CDR''s Weight]-1)*(100/MAX(METLTask2[CDR''s Weight])/100)))</f>
        <v>0.4</v>
      </c>
      <c r="I26" s="23"/>
      <c r="J26" s="24">
        <f>IF(ISNUMBER(SEARCH("→",METLTask2[[#This Row],[METL Task 2]])),"",IF(G26=$A$5,$B$5*METLTask2[[#This Row],[CDR''s Weight]],IF(G26=$A$6,$B$6*METLTask2[[#This Row],[CDR''s Weight]],IF(G26=$A$7,$B$7*METLTask2[[#This Row],[CDR''s Weight]]))))</f>
        <v>1.5</v>
      </c>
      <c r="K26" s="25" t="str">
        <f>IF(ISNUMBER(METLTask2[[#This Row],[Total]]),"",VLOOKUP(METLTask2[[#This Row],[Commander''s Assessment]],Table2[],2,FALSE)*(1-(($I$27:$I$36-1)*(100/MAX($I$27:$I$36)/100))))</f>
        <v/>
      </c>
      <c r="L26" s="26">
        <f>SUM(I27:I36)</f>
        <v>55</v>
      </c>
      <c r="M26" s="25">
        <f>SUM(K27:K36)*10</f>
        <v>37.61</v>
      </c>
      <c r="N26" s="25">
        <f>METLTask2[[#This Row],[New SB Total]]/METLTask2[[#This Row],[New SB Weight]]</f>
        <v>0.68381818181818177</v>
      </c>
      <c r="O26" s="2" t="str">
        <f>IF(ISBLANK(METLTask2[[#This Row],[calc]]),"",IF(METLTask2[[#This Row],[calc]]&gt;=0.66,$A$5,IF(AND(METLTask2[[#This Row],[calc]]&lt;0.66,METLTask2[[#This Row],[calc]]&gt;=0.33),$A$6,IF(METLTask2[[#This Row],[calc]]&lt;0.33,"U"))))</f>
        <v>T</v>
      </c>
      <c r="P26" s="44"/>
    </row>
    <row r="27" spans="2:16" hidden="1" outlineLevel="1" x14ac:dyDescent="0.3">
      <c r="E27" s="27" t="s">
        <v>33</v>
      </c>
      <c r="F27" s="33"/>
      <c r="G27" s="20" t="s">
        <v>2</v>
      </c>
      <c r="H27" s="35" t="str">
        <f>IF(ISBLANK(METLTask2[[#This Row],[CDR''s Weight]]),"",VLOOKUP(METLTask2[[#This Row],[Commander''s Assessment]],Table2[],2,FALSE)*(1-(METLTask2[CDR''s Weight]-1)*(100/MAX(METLTask2[CDR''s Weight])/100)))</f>
        <v/>
      </c>
      <c r="I27" s="28">
        <v>2</v>
      </c>
      <c r="J27" s="24" t="str">
        <f>IF(ISNUMBER(SEARCH("→",METLTask2[[#This Row],[METL Task 2]])),"",IF(G27=$A$5,$B$5*METLTask2[[#This Row],[CDR''s Weight]],IF(G27=$A$6,$B$6*METLTask2[[#This Row],[CDR''s Weight]],IF(G27=$A$7,$B$7*METLTask2[[#This Row],[CDR''s Weight]]))))</f>
        <v/>
      </c>
      <c r="K27" s="25">
        <f>VLOOKUP(METLTask2[[#This Row],[Commander''s Assessment]],Table2[],2,FALSE)*(1-(($I$27:$I$36-1)*(100/MAX($I$27:$I$36)/100)))</f>
        <v>0.45</v>
      </c>
      <c r="L27" s="26"/>
      <c r="M27" s="25"/>
      <c r="N27" s="25"/>
      <c r="O27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27" s="44"/>
    </row>
    <row r="28" spans="2:16" hidden="1" outlineLevel="1" x14ac:dyDescent="0.3">
      <c r="E28" s="27" t="s">
        <v>24</v>
      </c>
      <c r="F28" s="33"/>
      <c r="G28" s="20" t="s">
        <v>1</v>
      </c>
      <c r="H28" s="35" t="str">
        <f>IF(ISBLANK(METLTask2[[#This Row],[CDR''s Weight]]),"",VLOOKUP(METLTask2[[#This Row],[Commander''s Assessment]],Table2[],2,FALSE)*(1-(METLTask2[CDR''s Weight]-1)*(100/MAX(METLTask2[CDR''s Weight])/100)))</f>
        <v/>
      </c>
      <c r="I28" s="28">
        <v>3</v>
      </c>
      <c r="J28" s="24" t="str">
        <f>IF(ISNUMBER(SEARCH("→",METLTask2[[#This Row],[METL Task 2]])),"",IF(G28=$A$5,$B$5*METLTask2[[#This Row],[CDR''s Weight]],IF(G28=$A$6,$B$6*METLTask2[[#This Row],[CDR''s Weight]],IF(G28=$A$7,$B$7*METLTask2[[#This Row],[CDR''s Weight]]))))</f>
        <v/>
      </c>
      <c r="K28" s="25">
        <f>VLOOKUP(METLTask2[[#This Row],[Commander''s Assessment]],Table2[],2,FALSE)*(1-(($I$27:$I$36-1)*(100/MAX($I$27:$I$36)/100)))</f>
        <v>0.8</v>
      </c>
      <c r="L28" s="26"/>
      <c r="M28" s="25"/>
      <c r="N28" s="25"/>
      <c r="O28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28" s="44"/>
    </row>
    <row r="29" spans="2:16" hidden="1" outlineLevel="1" x14ac:dyDescent="0.3">
      <c r="E29" s="27" t="s">
        <v>24</v>
      </c>
      <c r="F29" s="31"/>
      <c r="G29" s="20" t="s">
        <v>1</v>
      </c>
      <c r="H29" s="35" t="str">
        <f>IF(ISBLANK(METLTask2[[#This Row],[CDR''s Weight]]),"",VLOOKUP(METLTask2[[#This Row],[Commander''s Assessment]],Table2[],2,FALSE)*(1-(METLTask2[CDR''s Weight]-1)*(100/MAX(METLTask2[CDR''s Weight])/100)))</f>
        <v/>
      </c>
      <c r="I29" s="28">
        <v>4</v>
      </c>
      <c r="J29" s="24" t="str">
        <f>IF(ISNUMBER(SEARCH("→",METLTask2[[#This Row],[METL Task 2]])),"",IF(G29=$A$5,$B$5*METLTask2[[#This Row],[CDR''s Weight]],IF(G29=$A$6,$B$6*METLTask2[[#This Row],[CDR''s Weight]],IF(G29=$A$7,$B$7*METLTask2[[#This Row],[CDR''s Weight]]))))</f>
        <v/>
      </c>
      <c r="K29" s="25">
        <f>VLOOKUP(METLTask2[[#This Row],[Commander''s Assessment]],Table2[],2,FALSE)*(1-(($I$27:$I$36-1)*(100/MAX($I$27:$I$36)/100)))</f>
        <v>0.7</v>
      </c>
      <c r="L29" s="26"/>
      <c r="M29" s="25"/>
      <c r="N29" s="25"/>
      <c r="O29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29" s="44"/>
    </row>
    <row r="30" spans="2:16" hidden="1" outlineLevel="1" x14ac:dyDescent="0.3">
      <c r="E30" s="27" t="s">
        <v>24</v>
      </c>
      <c r="F30" s="33"/>
      <c r="G30" s="20" t="s">
        <v>1</v>
      </c>
      <c r="H30" s="35" t="str">
        <f>IF(ISBLANK(METLTask2[[#This Row],[CDR''s Weight]]),"",VLOOKUP(METLTask2[[#This Row],[Commander''s Assessment]],Table2[],2,FALSE)*(1-(METLTask2[CDR''s Weight]-1)*(100/MAX(METLTask2[CDR''s Weight])/100)))</f>
        <v/>
      </c>
      <c r="I30" s="28">
        <v>5</v>
      </c>
      <c r="J30" s="24" t="str">
        <f>IF(ISNUMBER(SEARCH("→",METLTask2[[#This Row],[METL Task 2]])),"",IF(G30=$A$5,$B$5*METLTask2[[#This Row],[CDR''s Weight]],IF(G30=$A$6,$B$6*METLTask2[[#This Row],[CDR''s Weight]],IF(G30=$A$7,$B$7*METLTask2[[#This Row],[CDR''s Weight]]))))</f>
        <v/>
      </c>
      <c r="K30" s="25">
        <f>VLOOKUP(METLTask2[[#This Row],[Commander''s Assessment]],Table2[],2,FALSE)*(1-(($I$27:$I$36-1)*(100/MAX($I$27:$I$36)/100)))</f>
        <v>0.6</v>
      </c>
      <c r="L30" s="26"/>
      <c r="M30" s="25"/>
      <c r="N30" s="25"/>
      <c r="O30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30" s="44"/>
    </row>
    <row r="31" spans="2:16" hidden="1" outlineLevel="1" x14ac:dyDescent="0.3">
      <c r="E31" s="27" t="s">
        <v>24</v>
      </c>
      <c r="F31" s="33"/>
      <c r="G31" s="20" t="s">
        <v>1</v>
      </c>
      <c r="H31" s="35" t="str">
        <f>IF(ISBLANK(METLTask2[[#This Row],[CDR''s Weight]]),"",VLOOKUP(METLTask2[[#This Row],[Commander''s Assessment]],Table2[],2,FALSE)*(1-(METLTask2[CDR''s Weight]-1)*(100/MAX(METLTask2[CDR''s Weight])/100)))</f>
        <v/>
      </c>
      <c r="I31" s="28">
        <v>6</v>
      </c>
      <c r="J31" s="24" t="str">
        <f>IF(ISNUMBER(SEARCH("→",METLTask2[[#This Row],[METL Task 2]])),"",IF(G31=$A$5,$B$5*METLTask2[[#This Row],[CDR''s Weight]],IF(G31=$A$6,$B$6*METLTask2[[#This Row],[CDR''s Weight]],IF(G31=$A$7,$B$7*METLTask2[[#This Row],[CDR''s Weight]]))))</f>
        <v/>
      </c>
      <c r="K31" s="25">
        <f>VLOOKUP(METLTask2[[#This Row],[Commander''s Assessment]],Table2[],2,FALSE)*(1-(($I$27:$I$36-1)*(100/MAX($I$27:$I$36)/100)))</f>
        <v>0.5</v>
      </c>
      <c r="L31" s="26"/>
      <c r="M31" s="25"/>
      <c r="N31" s="25"/>
      <c r="O31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31" s="44"/>
    </row>
    <row r="32" spans="2:16" hidden="1" outlineLevel="1" x14ac:dyDescent="0.3">
      <c r="E32" s="27" t="s">
        <v>24</v>
      </c>
      <c r="F32" s="33"/>
      <c r="G32" s="20" t="s">
        <v>2</v>
      </c>
      <c r="H32" s="35" t="str">
        <f>IF(ISBLANK(METLTask2[[#This Row],[CDR''s Weight]]),"",VLOOKUP(METLTask2[[#This Row],[Commander''s Assessment]],Table2[],2,FALSE)*(1-(METLTask2[CDR''s Weight]-1)*(100/MAX(METLTask2[CDR''s Weight])/100)))</f>
        <v/>
      </c>
      <c r="I32" s="28">
        <v>7</v>
      </c>
      <c r="J32" s="24" t="str">
        <f>IF(ISNUMBER(SEARCH("→",METLTask2[[#This Row],[METL Task 2]])),"",IF(G32=$A$5,$B$5*METLTask2[[#This Row],[CDR''s Weight]],IF(G32=$A$6,$B$6*METLTask2[[#This Row],[CDR''s Weight]],IF(G32=$A$7,$B$7*METLTask2[[#This Row],[CDR''s Weight]]))))</f>
        <v/>
      </c>
      <c r="K32" s="25">
        <f>VLOOKUP(METLTask2[[#This Row],[Commander''s Assessment]],Table2[],2,FALSE)*(1-(($I$27:$I$36-1)*(100/MAX($I$27:$I$36)/100)))</f>
        <v>0.19999999999999996</v>
      </c>
      <c r="L32" s="26"/>
      <c r="M32" s="25"/>
      <c r="N32" s="25"/>
      <c r="O32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32" s="44"/>
    </row>
    <row r="33" spans="5:16" hidden="1" outlineLevel="1" x14ac:dyDescent="0.3">
      <c r="E33" s="27" t="s">
        <v>24</v>
      </c>
      <c r="F33" s="33"/>
      <c r="G33" s="20" t="s">
        <v>1</v>
      </c>
      <c r="H33" s="35" t="str">
        <f>IF(ISBLANK(METLTask2[[#This Row],[CDR''s Weight]]),"",VLOOKUP(METLTask2[[#This Row],[Commander''s Assessment]],Table2[],2,FALSE)*(1-(METLTask2[CDR''s Weight]-1)*(100/MAX(METLTask2[CDR''s Weight])/100)))</f>
        <v/>
      </c>
      <c r="I33" s="28">
        <v>8</v>
      </c>
      <c r="J33" s="24" t="str">
        <f>IF(ISNUMBER(SEARCH("→",METLTask2[[#This Row],[METL Task 2]])),"",IF(G33=$A$5,$B$5*METLTask2[[#This Row],[CDR''s Weight]],IF(G33=$A$6,$B$6*METLTask2[[#This Row],[CDR''s Weight]],IF(G33=$A$7,$B$7*METLTask2[[#This Row],[CDR''s Weight]]))))</f>
        <v/>
      </c>
      <c r="K33" s="25">
        <f>VLOOKUP(METLTask2[[#This Row],[Commander''s Assessment]],Table2[],2,FALSE)*(1-(($I$27:$I$36-1)*(100/MAX($I$27:$I$36)/100)))</f>
        <v>0.29999999999999993</v>
      </c>
      <c r="L33" s="26"/>
      <c r="M33" s="25"/>
      <c r="N33" s="25"/>
      <c r="O33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33" s="44"/>
    </row>
    <row r="34" spans="5:16" hidden="1" outlineLevel="1" x14ac:dyDescent="0.3">
      <c r="E34" s="27" t="s">
        <v>24</v>
      </c>
      <c r="F34" s="33"/>
      <c r="G34" s="20" t="s">
        <v>1</v>
      </c>
      <c r="H34" s="35" t="str">
        <f>IF(ISBLANK(METLTask2[[#This Row],[CDR''s Weight]]),"",VLOOKUP(METLTask2[[#This Row],[Commander''s Assessment]],Table2[],2,FALSE)*(1-(METLTask2[CDR''s Weight]-1)*(100/MAX(METLTask2[CDR''s Weight])/100)))</f>
        <v/>
      </c>
      <c r="I34" s="28">
        <v>9</v>
      </c>
      <c r="J34" s="24" t="str">
        <f>IF(ISNUMBER(SEARCH("→",METLTask2[[#This Row],[METL Task 2]])),"",IF(G34=$A$5,$B$5*METLTask2[[#This Row],[CDR''s Weight]],IF(G34=$A$6,$B$6*METLTask2[[#This Row],[CDR''s Weight]],IF(G34=$A$7,$B$7*METLTask2[[#This Row],[CDR''s Weight]]))))</f>
        <v/>
      </c>
      <c r="K34" s="25">
        <f>VLOOKUP(METLTask2[[#This Row],[Commander''s Assessment]],Table2[],2,FALSE)*(1-(($I$27:$I$36-1)*(100/MAX($I$27:$I$36)/100)))</f>
        <v>0.19999999999999996</v>
      </c>
      <c r="L34" s="26"/>
      <c r="M34" s="25"/>
      <c r="N34" s="25"/>
      <c r="O34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34" s="44"/>
    </row>
    <row r="35" spans="5:16" hidden="1" outlineLevel="1" x14ac:dyDescent="0.3">
      <c r="E35" s="27" t="s">
        <v>24</v>
      </c>
      <c r="F35" s="33"/>
      <c r="G35" s="20" t="s">
        <v>3</v>
      </c>
      <c r="H35" s="35" t="str">
        <f>IF(ISBLANK(METLTask2[[#This Row],[CDR''s Weight]]),"",VLOOKUP(METLTask2[[#This Row],[Commander''s Assessment]],Table2[],2,FALSE)*(1-(METLTask2[CDR''s Weight]-1)*(100/MAX(METLTask2[CDR''s Weight])/100)))</f>
        <v/>
      </c>
      <c r="I35" s="28">
        <v>10</v>
      </c>
      <c r="J35" s="24" t="str">
        <f>IF(ISNUMBER(SEARCH("→",METLTask2[[#This Row],[METL Task 2]])),"",IF(G35=$A$5,$B$5*METLTask2[[#This Row],[CDR''s Weight]],IF(G35=$A$6,$B$6*METLTask2[[#This Row],[CDR''s Weight]],IF(G35=$A$7,$B$7*METLTask2[[#This Row],[CDR''s Weight]]))))</f>
        <v/>
      </c>
      <c r="K35" s="25">
        <f>VLOOKUP(METLTask2[[#This Row],[Commander''s Assessment]],Table2[],2,FALSE)*(1-(($I$27:$I$36-1)*(100/MAX($I$27:$I$36)/100)))</f>
        <v>9.999999999999998E-4</v>
      </c>
      <c r="L35" s="26"/>
      <c r="M35" s="25"/>
      <c r="N35" s="25"/>
      <c r="O35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35" s="44"/>
    </row>
    <row r="36" spans="5:16" hidden="1" outlineLevel="1" x14ac:dyDescent="0.3">
      <c r="E36" s="27" t="s">
        <v>24</v>
      </c>
      <c r="F36" s="31"/>
      <c r="G36" s="20" t="s">
        <v>3</v>
      </c>
      <c r="H36" s="35" t="str">
        <f>IF(ISBLANK(METLTask2[[#This Row],[CDR''s Weight]]),"",VLOOKUP(METLTask2[[#This Row],[Commander''s Assessment]],Table2[],2,FALSE)*(1-(METLTask2[CDR''s Weight]-1)*(100/MAX(METLTask2[CDR''s Weight])/100)))</f>
        <v/>
      </c>
      <c r="I36" s="29">
        <v>1</v>
      </c>
      <c r="J36" s="24" t="str">
        <f>IF(ISNUMBER(SEARCH("→",METLTask2[[#This Row],[METL Task 2]])),"",IF(G36=$A$5,$B$5*METLTask2[[#This Row],[CDR''s Weight]],IF(G36=$A$6,$B$6*METLTask2[[#This Row],[CDR''s Weight]],IF(G36=$A$7,$B$7*METLTask2[[#This Row],[CDR''s Weight]]))))</f>
        <v/>
      </c>
      <c r="K36" s="25">
        <f>VLOOKUP(METLTask2[[#This Row],[Commander''s Assessment]],Table2[],2,FALSE)*(1-(($I$27:$I$36-1)*(100/MAX($I$27:$I$36)/100)))</f>
        <v>0.01</v>
      </c>
      <c r="L36" s="26"/>
      <c r="M36" s="21"/>
      <c r="N36" s="21"/>
      <c r="O36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36" s="44"/>
    </row>
    <row r="37" spans="5:16" collapsed="1" x14ac:dyDescent="0.3">
      <c r="E37" s="22" t="s">
        <v>16</v>
      </c>
      <c r="F37" s="20">
        <v>4</v>
      </c>
      <c r="G37" s="20" t="s">
        <v>3</v>
      </c>
      <c r="H37" s="35">
        <f>IF(ISBLANK(METLTask2[[#This Row],[CDR''s Weight]]),"",VLOOKUP(METLTask2[[#This Row],[Commander''s Assessment]],Table2[],2,FALSE)*(1-(METLTask2[CDR''s Weight]-1)*(100/MAX(METLTask2[CDR''s Weight])/100)))</f>
        <v>6.9999999999999993E-3</v>
      </c>
      <c r="I37" s="23"/>
      <c r="J37" s="24">
        <f>IF(ISNUMBER(SEARCH("→",METLTask2[[#This Row],[METL Task 2]])),"",IF(G37=$A$5,$B$5*METLTask2[[#This Row],[CDR''s Weight]],IF(G37=$A$6,$B$6*METLTask2[[#This Row],[CDR''s Weight]],IF(G37=$A$7,$B$7*METLTask2[[#This Row],[CDR''s Weight]]))))</f>
        <v>0.04</v>
      </c>
      <c r="K37" s="25" t="str">
        <f>IF(ISNUMBER(METLTask2[[#This Row],[Total]]),"",VLOOKUP(METLTask2[[#This Row],[Commander''s Assessment]],Table2[],2,FALSE)*(1-(($I$38:$I$47-1)*(100/MAX($I$38:$I$47)/100))))</f>
        <v/>
      </c>
      <c r="L37" s="26">
        <f>SUM(I38:I47)</f>
        <v>55</v>
      </c>
      <c r="M37" s="25">
        <f>SUM(K38:K47)*10</f>
        <v>37.61</v>
      </c>
      <c r="N37" s="25">
        <f>METLTask2[[#This Row],[New SB Total]]/METLTask2[[#This Row],[New SB Weight]]</f>
        <v>0.68381818181818177</v>
      </c>
      <c r="O37" s="2" t="str">
        <f>IF(ISBLANK(METLTask2[[#This Row],[calc]]),"",IF(METLTask2[[#This Row],[calc]]&gt;=0.66,$A$5,IF(AND(METLTask2[[#This Row],[calc]]&lt;0.66,METLTask2[[#This Row],[calc]]&gt;=0.33),$A$6,IF(METLTask2[[#This Row],[calc]]&lt;0.33,"U"))))</f>
        <v>T</v>
      </c>
      <c r="P37" s="44"/>
    </row>
    <row r="38" spans="5:16" hidden="1" outlineLevel="1" x14ac:dyDescent="0.3">
      <c r="E38" s="27" t="s">
        <v>33</v>
      </c>
      <c r="F38" s="33"/>
      <c r="G38" s="20" t="s">
        <v>2</v>
      </c>
      <c r="H38" s="35" t="str">
        <f>IF(ISBLANK(METLTask2[[#This Row],[CDR''s Weight]]),"",VLOOKUP(METLTask2[[#This Row],[Commander''s Assessment]],Table2[],2,FALSE)*(1-(METLTask2[CDR''s Weight]-1)*(100/MAX(METLTask2[CDR''s Weight])/100)))</f>
        <v/>
      </c>
      <c r="I38" s="28">
        <v>2</v>
      </c>
      <c r="J38" s="24" t="str">
        <f>IF(ISNUMBER(SEARCH("→",METLTask2[[#This Row],[METL Task 2]])),"",IF(G38=$A$5,$B$5*METLTask2[[#This Row],[CDR''s Weight]],IF(G38=$A$6,$B$6*METLTask2[[#This Row],[CDR''s Weight]],IF(G38=$A$7,$B$7*METLTask2[[#This Row],[CDR''s Weight]]))))</f>
        <v/>
      </c>
      <c r="K38" s="25">
        <f>VLOOKUP(METLTask2[[#This Row],[Commander''s Assessment]],Table2[],2,FALSE)*(1-(($I$38:$I$47-1)*(100/MAX($I$38:$I$47)/100)))</f>
        <v>0.45</v>
      </c>
      <c r="L38" s="26"/>
      <c r="M38" s="25"/>
      <c r="N38" s="25"/>
      <c r="O38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38" s="44"/>
    </row>
    <row r="39" spans="5:16" hidden="1" outlineLevel="1" x14ac:dyDescent="0.3">
      <c r="E39" s="27" t="s">
        <v>24</v>
      </c>
      <c r="F39" s="33"/>
      <c r="G39" s="20" t="s">
        <v>1</v>
      </c>
      <c r="H39" s="35" t="str">
        <f>IF(ISBLANK(METLTask2[[#This Row],[CDR''s Weight]]),"",VLOOKUP(METLTask2[[#This Row],[Commander''s Assessment]],Table2[],2,FALSE)*(1-(METLTask2[CDR''s Weight]-1)*(100/MAX(METLTask2[CDR''s Weight])/100)))</f>
        <v/>
      </c>
      <c r="I39" s="28">
        <v>3</v>
      </c>
      <c r="J39" s="24" t="str">
        <f>IF(ISNUMBER(SEARCH("→",METLTask2[[#This Row],[METL Task 2]])),"",IF(G39=$A$5,$B$5*METLTask2[[#This Row],[CDR''s Weight]],IF(G39=$A$6,$B$6*METLTask2[[#This Row],[CDR''s Weight]],IF(G39=$A$7,$B$7*METLTask2[[#This Row],[CDR''s Weight]]))))</f>
        <v/>
      </c>
      <c r="K39" s="25">
        <f>VLOOKUP(METLTask2[[#This Row],[Commander''s Assessment]],Table2[],2,FALSE)*(1-(($I$38:$I$47-1)*(100/MAX($I$38:$I$47)/100)))</f>
        <v>0.8</v>
      </c>
      <c r="L39" s="26"/>
      <c r="M39" s="25"/>
      <c r="N39" s="25"/>
      <c r="O39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39" s="44"/>
    </row>
    <row r="40" spans="5:16" hidden="1" outlineLevel="1" x14ac:dyDescent="0.3">
      <c r="E40" s="27" t="s">
        <v>24</v>
      </c>
      <c r="F40" s="31"/>
      <c r="G40" s="20" t="s">
        <v>1</v>
      </c>
      <c r="H40" s="35" t="str">
        <f>IF(ISBLANK(METLTask2[[#This Row],[CDR''s Weight]]),"",VLOOKUP(METLTask2[[#This Row],[Commander''s Assessment]],Table2[],2,FALSE)*(1-(METLTask2[CDR''s Weight]-1)*(100/MAX(METLTask2[CDR''s Weight])/100)))</f>
        <v/>
      </c>
      <c r="I40" s="28">
        <v>4</v>
      </c>
      <c r="J40" s="24" t="str">
        <f>IF(ISNUMBER(SEARCH("→",METLTask2[[#This Row],[METL Task 2]])),"",IF(G40=$A$5,$B$5*METLTask2[[#This Row],[CDR''s Weight]],IF(G40=$A$6,$B$6*METLTask2[[#This Row],[CDR''s Weight]],IF(G40=$A$7,$B$7*METLTask2[[#This Row],[CDR''s Weight]]))))</f>
        <v/>
      </c>
      <c r="K40" s="25">
        <f>VLOOKUP(METLTask2[[#This Row],[Commander''s Assessment]],Table2[],2,FALSE)*(1-(($I$38:$I$47-1)*(100/MAX($I$38:$I$47)/100)))</f>
        <v>0.7</v>
      </c>
      <c r="L40" s="26"/>
      <c r="M40" s="25"/>
      <c r="N40" s="25"/>
      <c r="O40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40" s="44"/>
    </row>
    <row r="41" spans="5:16" hidden="1" outlineLevel="1" x14ac:dyDescent="0.3">
      <c r="E41" s="27" t="s">
        <v>24</v>
      </c>
      <c r="F41" s="33"/>
      <c r="G41" s="20" t="s">
        <v>1</v>
      </c>
      <c r="H41" s="35" t="str">
        <f>IF(ISBLANK(METLTask2[[#This Row],[CDR''s Weight]]),"",VLOOKUP(METLTask2[[#This Row],[Commander''s Assessment]],Table2[],2,FALSE)*(1-(METLTask2[CDR''s Weight]-1)*(100/MAX(METLTask2[CDR''s Weight])/100)))</f>
        <v/>
      </c>
      <c r="I41" s="28">
        <v>5</v>
      </c>
      <c r="J41" s="24" t="str">
        <f>IF(ISNUMBER(SEARCH("→",METLTask2[[#This Row],[METL Task 2]])),"",IF(G41=$A$5,$B$5*METLTask2[[#This Row],[CDR''s Weight]],IF(G41=$A$6,$B$6*METLTask2[[#This Row],[CDR''s Weight]],IF(G41=$A$7,$B$7*METLTask2[[#This Row],[CDR''s Weight]]))))</f>
        <v/>
      </c>
      <c r="K41" s="25">
        <f>VLOOKUP(METLTask2[[#This Row],[Commander''s Assessment]],Table2[],2,FALSE)*(1-(($I$38:$I$47-1)*(100/MAX($I$38:$I$47)/100)))</f>
        <v>0.6</v>
      </c>
      <c r="L41" s="26"/>
      <c r="M41" s="25"/>
      <c r="N41" s="25"/>
      <c r="O41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41" s="44"/>
    </row>
    <row r="42" spans="5:16" hidden="1" outlineLevel="1" x14ac:dyDescent="0.3">
      <c r="E42" s="27" t="s">
        <v>24</v>
      </c>
      <c r="F42" s="33"/>
      <c r="G42" s="20" t="s">
        <v>1</v>
      </c>
      <c r="H42" s="35" t="str">
        <f>IF(ISBLANK(METLTask2[[#This Row],[CDR''s Weight]]),"",VLOOKUP(METLTask2[[#This Row],[Commander''s Assessment]],Table2[],2,FALSE)*(1-(METLTask2[CDR''s Weight]-1)*(100/MAX(METLTask2[CDR''s Weight])/100)))</f>
        <v/>
      </c>
      <c r="I42" s="28">
        <v>6</v>
      </c>
      <c r="J42" s="24" t="str">
        <f>IF(ISNUMBER(SEARCH("→",METLTask2[[#This Row],[METL Task 2]])),"",IF(G42=$A$5,$B$5*METLTask2[[#This Row],[CDR''s Weight]],IF(G42=$A$6,$B$6*METLTask2[[#This Row],[CDR''s Weight]],IF(G42=$A$7,$B$7*METLTask2[[#This Row],[CDR''s Weight]]))))</f>
        <v/>
      </c>
      <c r="K42" s="25">
        <f>VLOOKUP(METLTask2[[#This Row],[Commander''s Assessment]],Table2[],2,FALSE)*(1-(($I$38:$I$47-1)*(100/MAX($I$38:$I$47)/100)))</f>
        <v>0.5</v>
      </c>
      <c r="L42" s="26"/>
      <c r="M42" s="25"/>
      <c r="N42" s="25"/>
      <c r="O42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42" s="44"/>
    </row>
    <row r="43" spans="5:16" hidden="1" outlineLevel="1" x14ac:dyDescent="0.3">
      <c r="E43" s="27" t="s">
        <v>24</v>
      </c>
      <c r="F43" s="33"/>
      <c r="G43" s="20" t="s">
        <v>2</v>
      </c>
      <c r="H43" s="35" t="str">
        <f>IF(ISBLANK(METLTask2[[#This Row],[CDR''s Weight]]),"",VLOOKUP(METLTask2[[#This Row],[Commander''s Assessment]],Table2[],2,FALSE)*(1-(METLTask2[CDR''s Weight]-1)*(100/MAX(METLTask2[CDR''s Weight])/100)))</f>
        <v/>
      </c>
      <c r="I43" s="28">
        <v>7</v>
      </c>
      <c r="J43" s="24" t="str">
        <f>IF(ISNUMBER(SEARCH("→",METLTask2[[#This Row],[METL Task 2]])),"",IF(G43=$A$5,$B$5*METLTask2[[#This Row],[CDR''s Weight]],IF(G43=$A$6,$B$6*METLTask2[[#This Row],[CDR''s Weight]],IF(G43=$A$7,$B$7*METLTask2[[#This Row],[CDR''s Weight]]))))</f>
        <v/>
      </c>
      <c r="K43" s="25">
        <f>VLOOKUP(METLTask2[[#This Row],[Commander''s Assessment]],Table2[],2,FALSE)*(1-(($I$38:$I$47-1)*(100/MAX($I$38:$I$47)/100)))</f>
        <v>0.19999999999999996</v>
      </c>
      <c r="L43" s="26"/>
      <c r="M43" s="25"/>
      <c r="N43" s="25"/>
      <c r="O43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43" s="44"/>
    </row>
    <row r="44" spans="5:16" hidden="1" outlineLevel="1" x14ac:dyDescent="0.3">
      <c r="E44" s="27" t="s">
        <v>24</v>
      </c>
      <c r="F44" s="33"/>
      <c r="G44" s="20" t="s">
        <v>1</v>
      </c>
      <c r="H44" s="35" t="str">
        <f>IF(ISBLANK(METLTask2[[#This Row],[CDR''s Weight]]),"",VLOOKUP(METLTask2[[#This Row],[Commander''s Assessment]],Table2[],2,FALSE)*(1-(METLTask2[CDR''s Weight]-1)*(100/MAX(METLTask2[CDR''s Weight])/100)))</f>
        <v/>
      </c>
      <c r="I44" s="28">
        <v>8</v>
      </c>
      <c r="J44" s="24" t="str">
        <f>IF(ISNUMBER(SEARCH("→",METLTask2[[#This Row],[METL Task 2]])),"",IF(G44=$A$5,$B$5*METLTask2[[#This Row],[CDR''s Weight]],IF(G44=$A$6,$B$6*METLTask2[[#This Row],[CDR''s Weight]],IF(G44=$A$7,$B$7*METLTask2[[#This Row],[CDR''s Weight]]))))</f>
        <v/>
      </c>
      <c r="K44" s="25">
        <f>VLOOKUP(METLTask2[[#This Row],[Commander''s Assessment]],Table2[],2,FALSE)*(1-(($I$38:$I$47-1)*(100/MAX($I$38:$I$47)/100)))</f>
        <v>0.29999999999999993</v>
      </c>
      <c r="L44" s="26"/>
      <c r="M44" s="25"/>
      <c r="N44" s="25"/>
      <c r="O44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44" s="44"/>
    </row>
    <row r="45" spans="5:16" hidden="1" outlineLevel="1" x14ac:dyDescent="0.3">
      <c r="E45" s="27" t="s">
        <v>24</v>
      </c>
      <c r="F45" s="33"/>
      <c r="G45" s="20" t="s">
        <v>1</v>
      </c>
      <c r="H45" s="35" t="str">
        <f>IF(ISBLANK(METLTask2[[#This Row],[CDR''s Weight]]),"",VLOOKUP(METLTask2[[#This Row],[Commander''s Assessment]],Table2[],2,FALSE)*(1-(METLTask2[CDR''s Weight]-1)*(100/MAX(METLTask2[CDR''s Weight])/100)))</f>
        <v/>
      </c>
      <c r="I45" s="28">
        <v>9</v>
      </c>
      <c r="J45" s="24" t="str">
        <f>IF(ISNUMBER(SEARCH("→",METLTask2[[#This Row],[METL Task 2]])),"",IF(G45=$A$5,$B$5*METLTask2[[#This Row],[CDR''s Weight]],IF(G45=$A$6,$B$6*METLTask2[[#This Row],[CDR''s Weight]],IF(G45=$A$7,$B$7*METLTask2[[#This Row],[CDR''s Weight]]))))</f>
        <v/>
      </c>
      <c r="K45" s="25">
        <f>VLOOKUP(METLTask2[[#This Row],[Commander''s Assessment]],Table2[],2,FALSE)*(1-(($I$38:$I$47-1)*(100/MAX($I$38:$I$47)/100)))</f>
        <v>0.19999999999999996</v>
      </c>
      <c r="L45" s="26"/>
      <c r="M45" s="25"/>
      <c r="N45" s="25"/>
      <c r="O45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45" s="44"/>
    </row>
    <row r="46" spans="5:16" hidden="1" outlineLevel="1" x14ac:dyDescent="0.3">
      <c r="E46" s="27" t="s">
        <v>24</v>
      </c>
      <c r="F46" s="33"/>
      <c r="G46" s="20" t="s">
        <v>3</v>
      </c>
      <c r="H46" s="35" t="str">
        <f>IF(ISBLANK(METLTask2[[#This Row],[CDR''s Weight]]),"",VLOOKUP(METLTask2[[#This Row],[Commander''s Assessment]],Table2[],2,FALSE)*(1-(METLTask2[CDR''s Weight]-1)*(100/MAX(METLTask2[CDR''s Weight])/100)))</f>
        <v/>
      </c>
      <c r="I46" s="28">
        <v>10</v>
      </c>
      <c r="J46" s="24" t="str">
        <f>IF(ISNUMBER(SEARCH("→",METLTask2[[#This Row],[METL Task 2]])),"",IF(G46=$A$5,$B$5*METLTask2[[#This Row],[CDR''s Weight]],IF(G46=$A$6,$B$6*METLTask2[[#This Row],[CDR''s Weight]],IF(G46=$A$7,$B$7*METLTask2[[#This Row],[CDR''s Weight]]))))</f>
        <v/>
      </c>
      <c r="K46" s="25">
        <f>VLOOKUP(METLTask2[[#This Row],[Commander''s Assessment]],Table2[],2,FALSE)*(1-(($I$38:$I$47-1)*(100/MAX($I$38:$I$47)/100)))</f>
        <v>9.999999999999998E-4</v>
      </c>
      <c r="L46" s="26"/>
      <c r="M46" s="25"/>
      <c r="N46" s="25"/>
      <c r="O46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46" s="44"/>
    </row>
    <row r="47" spans="5:16" hidden="1" outlineLevel="1" x14ac:dyDescent="0.3">
      <c r="E47" s="27" t="s">
        <v>24</v>
      </c>
      <c r="F47" s="31"/>
      <c r="G47" s="20" t="s">
        <v>3</v>
      </c>
      <c r="H47" s="35" t="str">
        <f>IF(ISBLANK(METLTask2[[#This Row],[CDR''s Weight]]),"",VLOOKUP(METLTask2[[#This Row],[Commander''s Assessment]],Table2[],2,FALSE)*(1-(METLTask2[CDR''s Weight]-1)*(100/MAX(METLTask2[CDR''s Weight])/100)))</f>
        <v/>
      </c>
      <c r="I47" s="29">
        <v>1</v>
      </c>
      <c r="J47" s="24" t="str">
        <f>IF(ISNUMBER(SEARCH("→",METLTask2[[#This Row],[METL Task 2]])),"",IF(G47=$A$5,$B$5*METLTask2[[#This Row],[CDR''s Weight]],IF(G47=$A$6,$B$6*METLTask2[[#This Row],[CDR''s Weight]],IF(G47=$A$7,$B$7*METLTask2[[#This Row],[CDR''s Weight]]))))</f>
        <v/>
      </c>
      <c r="K47" s="25">
        <f>VLOOKUP(METLTask2[[#This Row],[Commander''s Assessment]],Table2[],2,FALSE)*(1-(($I$38:$I$47-1)*(100/MAX($I$38:$I$47)/100)))</f>
        <v>0.01</v>
      </c>
      <c r="L47" s="26"/>
      <c r="M47" s="21"/>
      <c r="N47" s="21"/>
      <c r="O47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47" s="44"/>
    </row>
    <row r="48" spans="5:16" collapsed="1" x14ac:dyDescent="0.3">
      <c r="E48" s="22" t="s">
        <v>16</v>
      </c>
      <c r="F48" s="20">
        <v>5</v>
      </c>
      <c r="G48" s="20" t="s">
        <v>3</v>
      </c>
      <c r="H48" s="35">
        <f>IF(ISBLANK(METLTask2[[#This Row],[CDR''s Weight]]),"",VLOOKUP(METLTask2[[#This Row],[Commander''s Assessment]],Table2[],2,FALSE)*(1-(METLTask2[CDR''s Weight]-1)*(100/MAX(METLTask2[CDR''s Weight])/100)))</f>
        <v>6.0000000000000001E-3</v>
      </c>
      <c r="I48" s="23"/>
      <c r="J48" s="24">
        <f>IF(ISNUMBER(SEARCH("→",METLTask2[[#This Row],[METL Task 2]])),"",IF(G48=$A$5,$B$5*METLTask2[[#This Row],[CDR''s Weight]],IF(G48=$A$6,$B$6*METLTask2[[#This Row],[CDR''s Weight]],IF(G48=$A$7,$B$7*METLTask2[[#This Row],[CDR''s Weight]]))))</f>
        <v>0.05</v>
      </c>
      <c r="K48" s="25" t="str">
        <f>IF(ISNUMBER(METLTask2[[#This Row],[Total]]),"",VLOOKUP(METLTask2[[#This Row],[Commander''s Assessment]],Table2[],2,FALSE)*(1-(($I$49:$I$58-1)*(100/MAX($I$49:$I$58)/100))))</f>
        <v/>
      </c>
      <c r="L48" s="26">
        <f>SUM(I49:I58)</f>
        <v>55</v>
      </c>
      <c r="M48" s="25">
        <f>SUM(K49:K58)*10</f>
        <v>37.61</v>
      </c>
      <c r="N48" s="25">
        <f>METLTask2[[#This Row],[New SB Total]]/METLTask2[[#This Row],[New SB Weight]]</f>
        <v>0.68381818181818177</v>
      </c>
      <c r="O48" s="2" t="str">
        <f>IF(ISBLANK(METLTask2[[#This Row],[calc]]),"",IF(METLTask2[[#This Row],[calc]]&gt;=0.66,$A$5,IF(AND(METLTask2[[#This Row],[calc]]&lt;0.66,METLTask2[[#This Row],[calc]]&gt;=0.33),$A$6,IF(METLTask2[[#This Row],[calc]]&lt;0.33,"U"))))</f>
        <v>T</v>
      </c>
      <c r="P48" s="44"/>
    </row>
    <row r="49" spans="5:16" hidden="1" outlineLevel="1" x14ac:dyDescent="0.3">
      <c r="E49" s="27" t="s">
        <v>33</v>
      </c>
      <c r="F49" s="33"/>
      <c r="G49" s="20" t="s">
        <v>2</v>
      </c>
      <c r="H49" s="35" t="str">
        <f>IF(ISBLANK(METLTask2[[#This Row],[CDR''s Weight]]),"",VLOOKUP(METLTask2[[#This Row],[Commander''s Assessment]],Table2[],2,FALSE)*(1-(METLTask2[CDR''s Weight]-1)*(100/MAX(METLTask2[CDR''s Weight])/100)))</f>
        <v/>
      </c>
      <c r="I49" s="28">
        <v>2</v>
      </c>
      <c r="J49" s="24" t="str">
        <f>IF(ISNUMBER(SEARCH("→",METLTask2[[#This Row],[METL Task 2]])),"",IF(G49=$A$5,$B$5*METLTask2[[#This Row],[CDR''s Weight]],IF(G49=$A$6,$B$6*METLTask2[[#This Row],[CDR''s Weight]],IF(G49=$A$7,$B$7*METLTask2[[#This Row],[CDR''s Weight]]))))</f>
        <v/>
      </c>
      <c r="K49" s="25">
        <f>VLOOKUP(METLTask2[[#This Row],[Commander''s Assessment]],Table2[],2,FALSE)*(1-(($I$49:$I$58-1)*(100/MAX($I$49:$I$58)/100)))</f>
        <v>0.45</v>
      </c>
      <c r="L49" s="26"/>
      <c r="M49" s="25"/>
      <c r="N49" s="25"/>
      <c r="O49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49" s="44"/>
    </row>
    <row r="50" spans="5:16" hidden="1" outlineLevel="1" x14ac:dyDescent="0.3">
      <c r="E50" s="27" t="s">
        <v>24</v>
      </c>
      <c r="F50" s="33"/>
      <c r="G50" s="20" t="s">
        <v>1</v>
      </c>
      <c r="H50" s="35" t="str">
        <f>IF(ISBLANK(METLTask2[[#This Row],[CDR''s Weight]]),"",VLOOKUP(METLTask2[[#This Row],[Commander''s Assessment]],Table2[],2,FALSE)*(1-(METLTask2[CDR''s Weight]-1)*(100/MAX(METLTask2[CDR''s Weight])/100)))</f>
        <v/>
      </c>
      <c r="I50" s="28">
        <v>3</v>
      </c>
      <c r="J50" s="24" t="str">
        <f>IF(ISNUMBER(SEARCH("→",METLTask2[[#This Row],[METL Task 2]])),"",IF(G50=$A$5,$B$5*METLTask2[[#This Row],[CDR''s Weight]],IF(G50=$A$6,$B$6*METLTask2[[#This Row],[CDR''s Weight]],IF(G50=$A$7,$B$7*METLTask2[[#This Row],[CDR''s Weight]]))))</f>
        <v/>
      </c>
      <c r="K50" s="25">
        <f>VLOOKUP(METLTask2[[#This Row],[Commander''s Assessment]],Table2[],2,FALSE)*(1-(($I$49:$I$58-1)*(100/MAX($I$49:$I$58)/100)))</f>
        <v>0.8</v>
      </c>
      <c r="L50" s="26"/>
      <c r="M50" s="25"/>
      <c r="N50" s="25"/>
      <c r="O50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50" s="44"/>
    </row>
    <row r="51" spans="5:16" hidden="1" outlineLevel="1" x14ac:dyDescent="0.3">
      <c r="E51" s="27" t="s">
        <v>24</v>
      </c>
      <c r="F51" s="31"/>
      <c r="G51" s="20" t="s">
        <v>1</v>
      </c>
      <c r="H51" s="35" t="str">
        <f>IF(ISBLANK(METLTask2[[#This Row],[CDR''s Weight]]),"",VLOOKUP(METLTask2[[#This Row],[Commander''s Assessment]],Table2[],2,FALSE)*(1-(METLTask2[CDR''s Weight]-1)*(100/MAX(METLTask2[CDR''s Weight])/100)))</f>
        <v/>
      </c>
      <c r="I51" s="28">
        <v>4</v>
      </c>
      <c r="J51" s="24" t="str">
        <f>IF(ISNUMBER(SEARCH("→",METLTask2[[#This Row],[METL Task 2]])),"",IF(G51=$A$5,$B$5*METLTask2[[#This Row],[CDR''s Weight]],IF(G51=$A$6,$B$6*METLTask2[[#This Row],[CDR''s Weight]],IF(G51=$A$7,$B$7*METLTask2[[#This Row],[CDR''s Weight]]))))</f>
        <v/>
      </c>
      <c r="K51" s="25">
        <f>VLOOKUP(METLTask2[[#This Row],[Commander''s Assessment]],Table2[],2,FALSE)*(1-(($I$49:$I$58-1)*(100/MAX($I$49:$I$58)/100)))</f>
        <v>0.7</v>
      </c>
      <c r="L51" s="26"/>
      <c r="M51" s="25"/>
      <c r="N51" s="25"/>
      <c r="O51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51" s="44"/>
    </row>
    <row r="52" spans="5:16" hidden="1" outlineLevel="1" x14ac:dyDescent="0.3">
      <c r="E52" s="27" t="s">
        <v>24</v>
      </c>
      <c r="F52" s="33"/>
      <c r="G52" s="20" t="s">
        <v>1</v>
      </c>
      <c r="H52" s="35" t="str">
        <f>IF(ISBLANK(METLTask2[[#This Row],[CDR''s Weight]]),"",VLOOKUP(METLTask2[[#This Row],[Commander''s Assessment]],Table2[],2,FALSE)*(1-(METLTask2[CDR''s Weight]-1)*(100/MAX(METLTask2[CDR''s Weight])/100)))</f>
        <v/>
      </c>
      <c r="I52" s="28">
        <v>5</v>
      </c>
      <c r="J52" s="24" t="str">
        <f>IF(ISNUMBER(SEARCH("→",METLTask2[[#This Row],[METL Task 2]])),"",IF(G52=$A$5,$B$5*METLTask2[[#This Row],[CDR''s Weight]],IF(G52=$A$6,$B$6*METLTask2[[#This Row],[CDR''s Weight]],IF(G52=$A$7,$B$7*METLTask2[[#This Row],[CDR''s Weight]]))))</f>
        <v/>
      </c>
      <c r="K52" s="25">
        <f>VLOOKUP(METLTask2[[#This Row],[Commander''s Assessment]],Table2[],2,FALSE)*(1-(($I$49:$I$58-1)*(100/MAX($I$49:$I$58)/100)))</f>
        <v>0.6</v>
      </c>
      <c r="L52" s="26"/>
      <c r="M52" s="25"/>
      <c r="N52" s="25"/>
      <c r="O52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52" s="44"/>
    </row>
    <row r="53" spans="5:16" hidden="1" outlineLevel="1" x14ac:dyDescent="0.3">
      <c r="E53" s="27" t="s">
        <v>24</v>
      </c>
      <c r="F53" s="33"/>
      <c r="G53" s="20" t="s">
        <v>1</v>
      </c>
      <c r="H53" s="35" t="str">
        <f>IF(ISBLANK(METLTask2[[#This Row],[CDR''s Weight]]),"",VLOOKUP(METLTask2[[#This Row],[Commander''s Assessment]],Table2[],2,FALSE)*(1-(METLTask2[CDR''s Weight]-1)*(100/MAX(METLTask2[CDR''s Weight])/100)))</f>
        <v/>
      </c>
      <c r="I53" s="28">
        <v>6</v>
      </c>
      <c r="J53" s="24" t="str">
        <f>IF(ISNUMBER(SEARCH("→",METLTask2[[#This Row],[METL Task 2]])),"",IF(G53=$A$5,$B$5*METLTask2[[#This Row],[CDR''s Weight]],IF(G53=$A$6,$B$6*METLTask2[[#This Row],[CDR''s Weight]],IF(G53=$A$7,$B$7*METLTask2[[#This Row],[CDR''s Weight]]))))</f>
        <v/>
      </c>
      <c r="K53" s="25">
        <f>VLOOKUP(METLTask2[[#This Row],[Commander''s Assessment]],Table2[],2,FALSE)*(1-(($I$49:$I$58-1)*(100/MAX($I$49:$I$58)/100)))</f>
        <v>0.5</v>
      </c>
      <c r="L53" s="26"/>
      <c r="M53" s="25"/>
      <c r="N53" s="25"/>
      <c r="O53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53" s="44"/>
    </row>
    <row r="54" spans="5:16" hidden="1" outlineLevel="1" x14ac:dyDescent="0.3">
      <c r="E54" s="27" t="s">
        <v>24</v>
      </c>
      <c r="F54" s="33"/>
      <c r="G54" s="20" t="s">
        <v>2</v>
      </c>
      <c r="H54" s="35" t="str">
        <f>IF(ISBLANK(METLTask2[[#This Row],[CDR''s Weight]]),"",VLOOKUP(METLTask2[[#This Row],[Commander''s Assessment]],Table2[],2,FALSE)*(1-(METLTask2[CDR''s Weight]-1)*(100/MAX(METLTask2[CDR''s Weight])/100)))</f>
        <v/>
      </c>
      <c r="I54" s="28">
        <v>7</v>
      </c>
      <c r="J54" s="24" t="str">
        <f>IF(ISNUMBER(SEARCH("→",METLTask2[[#This Row],[METL Task 2]])),"",IF(G54=$A$5,$B$5*METLTask2[[#This Row],[CDR''s Weight]],IF(G54=$A$6,$B$6*METLTask2[[#This Row],[CDR''s Weight]],IF(G54=$A$7,$B$7*METLTask2[[#This Row],[CDR''s Weight]]))))</f>
        <v/>
      </c>
      <c r="K54" s="25">
        <f>VLOOKUP(METLTask2[[#This Row],[Commander''s Assessment]],Table2[],2,FALSE)*(1-(($I$49:$I$58-1)*(100/MAX($I$49:$I$58)/100)))</f>
        <v>0.19999999999999996</v>
      </c>
      <c r="L54" s="26"/>
      <c r="M54" s="25"/>
      <c r="N54" s="25"/>
      <c r="O54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54" s="44"/>
    </row>
    <row r="55" spans="5:16" hidden="1" outlineLevel="1" x14ac:dyDescent="0.3">
      <c r="E55" s="27" t="s">
        <v>24</v>
      </c>
      <c r="F55" s="33"/>
      <c r="G55" s="20" t="s">
        <v>1</v>
      </c>
      <c r="H55" s="35" t="str">
        <f>IF(ISBLANK(METLTask2[[#This Row],[CDR''s Weight]]),"",VLOOKUP(METLTask2[[#This Row],[Commander''s Assessment]],Table2[],2,FALSE)*(1-(METLTask2[CDR''s Weight]-1)*(100/MAX(METLTask2[CDR''s Weight])/100)))</f>
        <v/>
      </c>
      <c r="I55" s="28">
        <v>8</v>
      </c>
      <c r="J55" s="24" t="str">
        <f>IF(ISNUMBER(SEARCH("→",METLTask2[[#This Row],[METL Task 2]])),"",IF(G55=$A$5,$B$5*METLTask2[[#This Row],[CDR''s Weight]],IF(G55=$A$6,$B$6*METLTask2[[#This Row],[CDR''s Weight]],IF(G55=$A$7,$B$7*METLTask2[[#This Row],[CDR''s Weight]]))))</f>
        <v/>
      </c>
      <c r="K55" s="25">
        <f>VLOOKUP(METLTask2[[#This Row],[Commander''s Assessment]],Table2[],2,FALSE)*(1-(($I$49:$I$58-1)*(100/MAX($I$49:$I$58)/100)))</f>
        <v>0.29999999999999993</v>
      </c>
      <c r="L55" s="26"/>
      <c r="M55" s="25"/>
      <c r="N55" s="25"/>
      <c r="O55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55" s="44"/>
    </row>
    <row r="56" spans="5:16" hidden="1" outlineLevel="1" x14ac:dyDescent="0.3">
      <c r="E56" s="27" t="s">
        <v>24</v>
      </c>
      <c r="F56" s="33"/>
      <c r="G56" s="20" t="s">
        <v>1</v>
      </c>
      <c r="H56" s="35" t="str">
        <f>IF(ISBLANK(METLTask2[[#This Row],[CDR''s Weight]]),"",VLOOKUP(METLTask2[[#This Row],[Commander''s Assessment]],Table2[],2,FALSE)*(1-(METLTask2[CDR''s Weight]-1)*(100/MAX(METLTask2[CDR''s Weight])/100)))</f>
        <v/>
      </c>
      <c r="I56" s="28">
        <v>9</v>
      </c>
      <c r="J56" s="24" t="str">
        <f>IF(ISNUMBER(SEARCH("→",METLTask2[[#This Row],[METL Task 2]])),"",IF(G56=$A$5,$B$5*METLTask2[[#This Row],[CDR''s Weight]],IF(G56=$A$6,$B$6*METLTask2[[#This Row],[CDR''s Weight]],IF(G56=$A$7,$B$7*METLTask2[[#This Row],[CDR''s Weight]]))))</f>
        <v/>
      </c>
      <c r="K56" s="25">
        <f>VLOOKUP(METLTask2[[#This Row],[Commander''s Assessment]],Table2[],2,FALSE)*(1-(($I$49:$I$58-1)*(100/MAX($I$49:$I$58)/100)))</f>
        <v>0.19999999999999996</v>
      </c>
      <c r="L56" s="26"/>
      <c r="M56" s="25"/>
      <c r="N56" s="25"/>
      <c r="O56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56" s="44"/>
    </row>
    <row r="57" spans="5:16" hidden="1" outlineLevel="1" x14ac:dyDescent="0.3">
      <c r="E57" s="27" t="s">
        <v>24</v>
      </c>
      <c r="F57" s="33"/>
      <c r="G57" s="20" t="s">
        <v>3</v>
      </c>
      <c r="H57" s="35" t="str">
        <f>IF(ISBLANK(METLTask2[[#This Row],[CDR''s Weight]]),"",VLOOKUP(METLTask2[[#This Row],[Commander''s Assessment]],Table2[],2,FALSE)*(1-(METLTask2[CDR''s Weight]-1)*(100/MAX(METLTask2[CDR''s Weight])/100)))</f>
        <v/>
      </c>
      <c r="I57" s="28">
        <v>10</v>
      </c>
      <c r="J57" s="24" t="str">
        <f>IF(ISNUMBER(SEARCH("→",METLTask2[[#This Row],[METL Task 2]])),"",IF(G57=$A$5,$B$5*METLTask2[[#This Row],[CDR''s Weight]],IF(G57=$A$6,$B$6*METLTask2[[#This Row],[CDR''s Weight]],IF(G57=$A$7,$B$7*METLTask2[[#This Row],[CDR''s Weight]]))))</f>
        <v/>
      </c>
      <c r="K57" s="25">
        <f>VLOOKUP(METLTask2[[#This Row],[Commander''s Assessment]],Table2[],2,FALSE)*(1-(($I$49:$I$58-1)*(100/MAX($I$49:$I$58)/100)))</f>
        <v>9.999999999999998E-4</v>
      </c>
      <c r="L57" s="26"/>
      <c r="M57" s="25"/>
      <c r="N57" s="25"/>
      <c r="O57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57" s="44"/>
    </row>
    <row r="58" spans="5:16" hidden="1" outlineLevel="1" x14ac:dyDescent="0.3">
      <c r="E58" s="27" t="s">
        <v>24</v>
      </c>
      <c r="F58" s="31"/>
      <c r="G58" s="20" t="s">
        <v>3</v>
      </c>
      <c r="H58" s="35" t="str">
        <f>IF(ISBLANK(METLTask2[[#This Row],[CDR''s Weight]]),"",VLOOKUP(METLTask2[[#This Row],[Commander''s Assessment]],Table2[],2,FALSE)*(1-(METLTask2[CDR''s Weight]-1)*(100/MAX(METLTask2[CDR''s Weight])/100)))</f>
        <v/>
      </c>
      <c r="I58" s="29">
        <v>1</v>
      </c>
      <c r="J58" s="24" t="str">
        <f>IF(ISNUMBER(SEARCH("→",METLTask2[[#This Row],[METL Task 2]])),"",IF(G58=$A$5,$B$5*METLTask2[[#This Row],[CDR''s Weight]],IF(G58=$A$6,$B$6*METLTask2[[#This Row],[CDR''s Weight]],IF(G58=$A$7,$B$7*METLTask2[[#This Row],[CDR''s Weight]]))))</f>
        <v/>
      </c>
      <c r="K58" s="25">
        <f>VLOOKUP(METLTask2[[#This Row],[Commander''s Assessment]],Table2[],2,FALSE)*(1-(($I$49:$I$58-1)*(100/MAX($I$49:$I$58)/100)))</f>
        <v>0.01</v>
      </c>
      <c r="L58" s="26"/>
      <c r="M58" s="21"/>
      <c r="N58" s="21"/>
      <c r="O58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58" s="44"/>
    </row>
    <row r="59" spans="5:16" collapsed="1" x14ac:dyDescent="0.3">
      <c r="E59" s="22" t="s">
        <v>16</v>
      </c>
      <c r="F59" s="20">
        <v>6</v>
      </c>
      <c r="G59" s="20" t="s">
        <v>18</v>
      </c>
      <c r="H59" s="35">
        <f>IF(ISBLANK(METLTask2[[#This Row],[CDR''s Weight]]),"",VLOOKUP(METLTask2[[#This Row],[Commander''s Assessment]],Table2[],2,FALSE)*(1-(METLTask2[CDR''s Weight]-1)*(100/MAX(METLTask2[CDR''s Weight])/100)))</f>
        <v>0.5</v>
      </c>
      <c r="I59" s="23"/>
      <c r="J59" s="24">
        <f>IF(ISNUMBER(SEARCH("→",METLTask2[[#This Row],[METL Task 2]])),"",IF(G59=$A$5,$B$5*METLTask2[[#This Row],[CDR''s Weight]],IF(G59=$A$6,$B$6*METLTask2[[#This Row],[CDR''s Weight]],IF(G59=$A$7,$B$7*METLTask2[[#This Row],[CDR''s Weight]]))))</f>
        <v>6</v>
      </c>
      <c r="K59" s="25" t="str">
        <f>IF(ISNUMBER(METLTask2[[#This Row],[Total]]),"",VLOOKUP(METLTask2[[#This Row],[Commander''s Assessment]],Table2[],2,FALSE)*(1-(($I$60:$I$69-1)*(100/MAX($I$60:$I$69)/100))))</f>
        <v/>
      </c>
      <c r="L59" s="26">
        <f>SUM(I60:I69)</f>
        <v>55</v>
      </c>
      <c r="M59" s="25">
        <f>SUM(K60:K69)*10</f>
        <v>37.61</v>
      </c>
      <c r="N59" s="25">
        <f>METLTask2[[#This Row],[New SB Total]]/METLTask2[[#This Row],[New SB Weight]]</f>
        <v>0.68381818181818177</v>
      </c>
      <c r="O59" s="2" t="str">
        <f>IF(ISBLANK(METLTask2[[#This Row],[calc]]),"",IF(METLTask2[[#This Row],[calc]]&gt;=0.66,$A$5,IF(AND(METLTask2[[#This Row],[calc]]&lt;0.66,METLTask2[[#This Row],[calc]]&gt;=0.33),$A$6,IF(METLTask2[[#This Row],[calc]]&lt;0.33,"U"))))</f>
        <v>T</v>
      </c>
      <c r="P59" s="44"/>
    </row>
    <row r="60" spans="5:16" hidden="1" outlineLevel="1" x14ac:dyDescent="0.3">
      <c r="E60" s="27" t="s">
        <v>33</v>
      </c>
      <c r="F60" s="33"/>
      <c r="G60" s="20" t="s">
        <v>2</v>
      </c>
      <c r="H60" s="35" t="str">
        <f>IF(ISBLANK(METLTask2[[#This Row],[CDR''s Weight]]),"",VLOOKUP(METLTask2[[#This Row],[Commander''s Assessment]],Table2[],2,FALSE)*(1-(METLTask2[CDR''s Weight]-1)*(100/MAX(METLTask2[CDR''s Weight])/100)))</f>
        <v/>
      </c>
      <c r="I60" s="28">
        <v>2</v>
      </c>
      <c r="J60" s="24" t="str">
        <f>IF(ISNUMBER(SEARCH("→",METLTask2[[#This Row],[METL Task 2]])),"",IF(G60=$A$5,$B$5*METLTask2[[#This Row],[CDR''s Weight]],IF(G60=$A$6,$B$6*METLTask2[[#This Row],[CDR''s Weight]],IF(G60=$A$7,$B$7*METLTask2[[#This Row],[CDR''s Weight]]))))</f>
        <v/>
      </c>
      <c r="K60" s="25">
        <f>VLOOKUP(METLTask2[[#This Row],[Commander''s Assessment]],Table2[],2,FALSE)*(1-(($I$60:$I$69-1)*(100/MAX($I$60:$I$69)/100)))</f>
        <v>0.45</v>
      </c>
      <c r="L60" s="26"/>
      <c r="M60" s="25"/>
      <c r="N60" s="25"/>
      <c r="O60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60" s="44"/>
    </row>
    <row r="61" spans="5:16" hidden="1" outlineLevel="1" x14ac:dyDescent="0.3">
      <c r="E61" s="27" t="s">
        <v>24</v>
      </c>
      <c r="F61" s="33"/>
      <c r="G61" s="20" t="s">
        <v>1</v>
      </c>
      <c r="H61" s="35" t="str">
        <f>IF(ISBLANK(METLTask2[[#This Row],[CDR''s Weight]]),"",VLOOKUP(METLTask2[[#This Row],[Commander''s Assessment]],Table2[],2,FALSE)*(1-(METLTask2[CDR''s Weight]-1)*(100/MAX(METLTask2[CDR''s Weight])/100)))</f>
        <v/>
      </c>
      <c r="I61" s="28">
        <v>3</v>
      </c>
      <c r="J61" s="24" t="str">
        <f>IF(ISNUMBER(SEARCH("→",METLTask2[[#This Row],[METL Task 2]])),"",IF(G61=$A$5,$B$5*METLTask2[[#This Row],[CDR''s Weight]],IF(G61=$A$6,$B$6*METLTask2[[#This Row],[CDR''s Weight]],IF(G61=$A$7,$B$7*METLTask2[[#This Row],[CDR''s Weight]]))))</f>
        <v/>
      </c>
      <c r="K61" s="25">
        <f>VLOOKUP(METLTask2[[#This Row],[Commander''s Assessment]],Table2[],2,FALSE)*(1-(($I$60:$I$69-1)*(100/MAX($I$60:$I$69)/100)))</f>
        <v>0.8</v>
      </c>
      <c r="L61" s="26"/>
      <c r="M61" s="25"/>
      <c r="N61" s="25"/>
      <c r="O61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61" s="44"/>
    </row>
    <row r="62" spans="5:16" hidden="1" outlineLevel="1" x14ac:dyDescent="0.3">
      <c r="E62" s="27" t="s">
        <v>24</v>
      </c>
      <c r="F62" s="31"/>
      <c r="G62" s="20" t="s">
        <v>1</v>
      </c>
      <c r="H62" s="35" t="str">
        <f>IF(ISBLANK(METLTask2[[#This Row],[CDR''s Weight]]),"",VLOOKUP(METLTask2[[#This Row],[Commander''s Assessment]],Table2[],2,FALSE)*(1-(METLTask2[CDR''s Weight]-1)*(100/MAX(METLTask2[CDR''s Weight])/100)))</f>
        <v/>
      </c>
      <c r="I62" s="28">
        <v>4</v>
      </c>
      <c r="J62" s="24" t="str">
        <f>IF(ISNUMBER(SEARCH("→",METLTask2[[#This Row],[METL Task 2]])),"",IF(G62=$A$5,$B$5*METLTask2[[#This Row],[CDR''s Weight]],IF(G62=$A$6,$B$6*METLTask2[[#This Row],[CDR''s Weight]],IF(G62=$A$7,$B$7*METLTask2[[#This Row],[CDR''s Weight]]))))</f>
        <v/>
      </c>
      <c r="K62" s="25">
        <f>VLOOKUP(METLTask2[[#This Row],[Commander''s Assessment]],Table2[],2,FALSE)*(1-(($I$60:$I$69-1)*(100/MAX($I$60:$I$69)/100)))</f>
        <v>0.7</v>
      </c>
      <c r="L62" s="26"/>
      <c r="M62" s="25"/>
      <c r="N62" s="25"/>
      <c r="O62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62" s="44"/>
    </row>
    <row r="63" spans="5:16" hidden="1" outlineLevel="1" x14ac:dyDescent="0.3">
      <c r="E63" s="27" t="s">
        <v>24</v>
      </c>
      <c r="F63" s="33"/>
      <c r="G63" s="20" t="s">
        <v>1</v>
      </c>
      <c r="H63" s="35" t="str">
        <f>IF(ISBLANK(METLTask2[[#This Row],[CDR''s Weight]]),"",VLOOKUP(METLTask2[[#This Row],[Commander''s Assessment]],Table2[],2,FALSE)*(1-(METLTask2[CDR''s Weight]-1)*(100/MAX(METLTask2[CDR''s Weight])/100)))</f>
        <v/>
      </c>
      <c r="I63" s="28">
        <v>5</v>
      </c>
      <c r="J63" s="24" t="str">
        <f>IF(ISNUMBER(SEARCH("→",METLTask2[[#This Row],[METL Task 2]])),"",IF(G63=$A$5,$B$5*METLTask2[[#This Row],[CDR''s Weight]],IF(G63=$A$6,$B$6*METLTask2[[#This Row],[CDR''s Weight]],IF(G63=$A$7,$B$7*METLTask2[[#This Row],[CDR''s Weight]]))))</f>
        <v/>
      </c>
      <c r="K63" s="25">
        <f>VLOOKUP(METLTask2[[#This Row],[Commander''s Assessment]],Table2[],2,FALSE)*(1-(($I$60:$I$69-1)*(100/MAX($I$60:$I$69)/100)))</f>
        <v>0.6</v>
      </c>
      <c r="L63" s="26"/>
      <c r="M63" s="25"/>
      <c r="N63" s="25"/>
      <c r="O63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63" s="44"/>
    </row>
    <row r="64" spans="5:16" hidden="1" outlineLevel="1" x14ac:dyDescent="0.3">
      <c r="E64" s="27" t="s">
        <v>24</v>
      </c>
      <c r="F64" s="33"/>
      <c r="G64" s="20" t="s">
        <v>1</v>
      </c>
      <c r="H64" s="35" t="str">
        <f>IF(ISBLANK(METLTask2[[#This Row],[CDR''s Weight]]),"",VLOOKUP(METLTask2[[#This Row],[Commander''s Assessment]],Table2[],2,FALSE)*(1-(METLTask2[CDR''s Weight]-1)*(100/MAX(METLTask2[CDR''s Weight])/100)))</f>
        <v/>
      </c>
      <c r="I64" s="28">
        <v>6</v>
      </c>
      <c r="J64" s="24" t="str">
        <f>IF(ISNUMBER(SEARCH("→",METLTask2[[#This Row],[METL Task 2]])),"",IF(G64=$A$5,$B$5*METLTask2[[#This Row],[CDR''s Weight]],IF(G64=$A$6,$B$6*METLTask2[[#This Row],[CDR''s Weight]],IF(G64=$A$7,$B$7*METLTask2[[#This Row],[CDR''s Weight]]))))</f>
        <v/>
      </c>
      <c r="K64" s="25">
        <f>VLOOKUP(METLTask2[[#This Row],[Commander''s Assessment]],Table2[],2,FALSE)*(1-(($I$60:$I$69-1)*(100/MAX($I$60:$I$69)/100)))</f>
        <v>0.5</v>
      </c>
      <c r="L64" s="26"/>
      <c r="M64" s="25"/>
      <c r="N64" s="25"/>
      <c r="O64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64" s="44"/>
    </row>
    <row r="65" spans="5:16" hidden="1" outlineLevel="1" x14ac:dyDescent="0.3">
      <c r="E65" s="27" t="s">
        <v>24</v>
      </c>
      <c r="F65" s="33"/>
      <c r="G65" s="20" t="s">
        <v>2</v>
      </c>
      <c r="H65" s="35" t="str">
        <f>IF(ISBLANK(METLTask2[[#This Row],[CDR''s Weight]]),"",VLOOKUP(METLTask2[[#This Row],[Commander''s Assessment]],Table2[],2,FALSE)*(1-(METLTask2[CDR''s Weight]-1)*(100/MAX(METLTask2[CDR''s Weight])/100)))</f>
        <v/>
      </c>
      <c r="I65" s="28">
        <v>7</v>
      </c>
      <c r="J65" s="24" t="str">
        <f>IF(ISNUMBER(SEARCH("→",METLTask2[[#This Row],[METL Task 2]])),"",IF(G65=$A$5,$B$5*METLTask2[[#This Row],[CDR''s Weight]],IF(G65=$A$6,$B$6*METLTask2[[#This Row],[CDR''s Weight]],IF(G65=$A$7,$B$7*METLTask2[[#This Row],[CDR''s Weight]]))))</f>
        <v/>
      </c>
      <c r="K65" s="25">
        <f>VLOOKUP(METLTask2[[#This Row],[Commander''s Assessment]],Table2[],2,FALSE)*(1-(($I$60:$I$69-1)*(100/MAX($I$60:$I$69)/100)))</f>
        <v>0.19999999999999996</v>
      </c>
      <c r="L65" s="26"/>
      <c r="M65" s="25"/>
      <c r="N65" s="25"/>
      <c r="O65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65" s="44"/>
    </row>
    <row r="66" spans="5:16" hidden="1" outlineLevel="1" x14ac:dyDescent="0.3">
      <c r="E66" s="27" t="s">
        <v>24</v>
      </c>
      <c r="F66" s="33"/>
      <c r="G66" s="20" t="s">
        <v>1</v>
      </c>
      <c r="H66" s="35" t="str">
        <f>IF(ISBLANK(METLTask2[[#This Row],[CDR''s Weight]]),"",VLOOKUP(METLTask2[[#This Row],[Commander''s Assessment]],Table2[],2,FALSE)*(1-(METLTask2[CDR''s Weight]-1)*(100/MAX(METLTask2[CDR''s Weight])/100)))</f>
        <v/>
      </c>
      <c r="I66" s="28">
        <v>8</v>
      </c>
      <c r="J66" s="24" t="str">
        <f>IF(ISNUMBER(SEARCH("→",METLTask2[[#This Row],[METL Task 2]])),"",IF(G66=$A$5,$B$5*METLTask2[[#This Row],[CDR''s Weight]],IF(G66=$A$6,$B$6*METLTask2[[#This Row],[CDR''s Weight]],IF(G66=$A$7,$B$7*METLTask2[[#This Row],[CDR''s Weight]]))))</f>
        <v/>
      </c>
      <c r="K66" s="25">
        <f>VLOOKUP(METLTask2[[#This Row],[Commander''s Assessment]],Table2[],2,FALSE)*(1-(($I$60:$I$69-1)*(100/MAX($I$60:$I$69)/100)))</f>
        <v>0.29999999999999993</v>
      </c>
      <c r="L66" s="26"/>
      <c r="M66" s="25"/>
      <c r="N66" s="25"/>
      <c r="O66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66" s="44"/>
    </row>
    <row r="67" spans="5:16" hidden="1" outlineLevel="1" x14ac:dyDescent="0.3">
      <c r="E67" s="27" t="s">
        <v>24</v>
      </c>
      <c r="F67" s="33"/>
      <c r="G67" s="20" t="s">
        <v>1</v>
      </c>
      <c r="H67" s="35" t="str">
        <f>IF(ISBLANK(METLTask2[[#This Row],[CDR''s Weight]]),"",VLOOKUP(METLTask2[[#This Row],[Commander''s Assessment]],Table2[],2,FALSE)*(1-(METLTask2[CDR''s Weight]-1)*(100/MAX(METLTask2[CDR''s Weight])/100)))</f>
        <v/>
      </c>
      <c r="I67" s="28">
        <v>9</v>
      </c>
      <c r="J67" s="24" t="str">
        <f>IF(ISNUMBER(SEARCH("→",METLTask2[[#This Row],[METL Task 2]])),"",IF(G67=$A$5,$B$5*METLTask2[[#This Row],[CDR''s Weight]],IF(G67=$A$6,$B$6*METLTask2[[#This Row],[CDR''s Weight]],IF(G67=$A$7,$B$7*METLTask2[[#This Row],[CDR''s Weight]]))))</f>
        <v/>
      </c>
      <c r="K67" s="25">
        <f>VLOOKUP(METLTask2[[#This Row],[Commander''s Assessment]],Table2[],2,FALSE)*(1-(($I$60:$I$69-1)*(100/MAX($I$60:$I$69)/100)))</f>
        <v>0.19999999999999996</v>
      </c>
      <c r="L67" s="26"/>
      <c r="M67" s="25"/>
      <c r="N67" s="25"/>
      <c r="O67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67" s="44"/>
    </row>
    <row r="68" spans="5:16" hidden="1" outlineLevel="1" x14ac:dyDescent="0.3">
      <c r="E68" s="27" t="s">
        <v>24</v>
      </c>
      <c r="F68" s="33"/>
      <c r="G68" s="20" t="s">
        <v>3</v>
      </c>
      <c r="H68" s="35" t="str">
        <f>IF(ISBLANK(METLTask2[[#This Row],[CDR''s Weight]]),"",VLOOKUP(METLTask2[[#This Row],[Commander''s Assessment]],Table2[],2,FALSE)*(1-(METLTask2[CDR''s Weight]-1)*(100/MAX(METLTask2[CDR''s Weight])/100)))</f>
        <v/>
      </c>
      <c r="I68" s="28">
        <v>10</v>
      </c>
      <c r="J68" s="24" t="str">
        <f>IF(ISNUMBER(SEARCH("→",METLTask2[[#This Row],[METL Task 2]])),"",IF(G68=$A$5,$B$5*METLTask2[[#This Row],[CDR''s Weight]],IF(G68=$A$6,$B$6*METLTask2[[#This Row],[CDR''s Weight]],IF(G68=$A$7,$B$7*METLTask2[[#This Row],[CDR''s Weight]]))))</f>
        <v/>
      </c>
      <c r="K68" s="25">
        <f>VLOOKUP(METLTask2[[#This Row],[Commander''s Assessment]],Table2[],2,FALSE)*(1-(($I$60:$I$69-1)*(100/MAX($I$60:$I$69)/100)))</f>
        <v>9.999999999999998E-4</v>
      </c>
      <c r="L68" s="26"/>
      <c r="M68" s="25"/>
      <c r="N68" s="25"/>
      <c r="O68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68" s="44"/>
    </row>
    <row r="69" spans="5:16" hidden="1" outlineLevel="1" x14ac:dyDescent="0.3">
      <c r="E69" s="27" t="s">
        <v>24</v>
      </c>
      <c r="F69" s="31"/>
      <c r="G69" s="20" t="s">
        <v>3</v>
      </c>
      <c r="H69" s="35" t="str">
        <f>IF(ISBLANK(METLTask2[[#This Row],[CDR''s Weight]]),"",VLOOKUP(METLTask2[[#This Row],[Commander''s Assessment]],Table2[],2,FALSE)*(1-(METLTask2[CDR''s Weight]-1)*(100/MAX(METLTask2[CDR''s Weight])/100)))</f>
        <v/>
      </c>
      <c r="I69" s="29">
        <v>1</v>
      </c>
      <c r="J69" s="24" t="str">
        <f>IF(ISNUMBER(SEARCH("→",METLTask2[[#This Row],[METL Task 2]])),"",IF(G69=$A$5,$B$5*METLTask2[[#This Row],[CDR''s Weight]],IF(G69=$A$6,$B$6*METLTask2[[#This Row],[CDR''s Weight]],IF(G69=$A$7,$B$7*METLTask2[[#This Row],[CDR''s Weight]]))))</f>
        <v/>
      </c>
      <c r="K69" s="25">
        <f>VLOOKUP(METLTask2[[#This Row],[Commander''s Assessment]],Table2[],2,FALSE)*(1-(($I$60:$I$69-1)*(100/MAX($I$60:$I$69)/100)))</f>
        <v>0.01</v>
      </c>
      <c r="L69" s="26"/>
      <c r="M69" s="21"/>
      <c r="N69" s="21"/>
      <c r="O69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69" s="44"/>
    </row>
    <row r="70" spans="5:16" collapsed="1" x14ac:dyDescent="0.3">
      <c r="E70" s="22" t="s">
        <v>16</v>
      </c>
      <c r="F70" s="20">
        <v>7</v>
      </c>
      <c r="G70" s="20" t="s">
        <v>18</v>
      </c>
      <c r="H70" s="35">
        <f>IF(ISBLANK(METLTask2[[#This Row],[CDR''s Weight]]),"",VLOOKUP(METLTask2[[#This Row],[Commander''s Assessment]],Table2[],2,FALSE)*(1-(METLTask2[CDR''s Weight]-1)*(100/MAX(METLTask2[CDR''s Weight])/100)))</f>
        <v>0.39999999999999991</v>
      </c>
      <c r="I70" s="23"/>
      <c r="J70" s="24">
        <f>IF(ISNUMBER(SEARCH("→",METLTask2[[#This Row],[METL Task 2]])),"",IF(G70=$A$5,$B$5*METLTask2[[#This Row],[CDR''s Weight]],IF(G70=$A$6,$B$6*METLTask2[[#This Row],[CDR''s Weight]],IF(G70=$A$7,$B$7*METLTask2[[#This Row],[CDR''s Weight]]))))</f>
        <v>7</v>
      </c>
      <c r="K70" s="25" t="str">
        <f>IF(ISNUMBER(METLTask2[[#This Row],[Total]]),"",VLOOKUP(METLTask2[[#This Row],[Commander''s Assessment]],Table2[],2,FALSE)*(1-(($I$71:$I$80-1)*(100/MAX($I$71:$I$80)/100))))</f>
        <v/>
      </c>
      <c r="L70" s="26">
        <f>SUM(I71:I80)</f>
        <v>55</v>
      </c>
      <c r="M70" s="25">
        <f>SUM(K71:K80)*10</f>
        <v>37.61</v>
      </c>
      <c r="N70" s="25">
        <f>METLTask2[[#This Row],[New SB Total]]/METLTask2[[#This Row],[New SB Weight]]</f>
        <v>0.68381818181818177</v>
      </c>
      <c r="O70" s="2" t="str">
        <f>IF(ISBLANK(METLTask2[[#This Row],[calc]]),"",IF(METLTask2[[#This Row],[calc]]&gt;=0.66,$A$5,IF(AND(METLTask2[[#This Row],[calc]]&lt;0.66,METLTask2[[#This Row],[calc]]&gt;=0.33),$A$6,IF(METLTask2[[#This Row],[calc]]&lt;0.33,"U"))))</f>
        <v>T</v>
      </c>
      <c r="P70" s="44"/>
    </row>
    <row r="71" spans="5:16" hidden="1" outlineLevel="1" x14ac:dyDescent="0.3">
      <c r="E71" s="27" t="s">
        <v>33</v>
      </c>
      <c r="F71" s="33"/>
      <c r="G71" s="20" t="s">
        <v>2</v>
      </c>
      <c r="H71" s="35" t="str">
        <f>IF(ISBLANK(METLTask2[[#This Row],[CDR''s Weight]]),"",VLOOKUP(METLTask2[[#This Row],[Commander''s Assessment]],Table2[],2,FALSE)*(1-(METLTask2[CDR''s Weight]-1)*(100/MAX(METLTask2[CDR''s Weight])/100)))</f>
        <v/>
      </c>
      <c r="I71" s="28">
        <v>2</v>
      </c>
      <c r="J71" s="24" t="str">
        <f>IF(ISNUMBER(SEARCH("→",METLTask2[[#This Row],[METL Task 2]])),"",IF(G71=$A$5,$B$5*METLTask2[[#This Row],[CDR''s Weight]],IF(G71=$A$6,$B$6*METLTask2[[#This Row],[CDR''s Weight]],IF(G71=$A$7,$B$7*METLTask2[[#This Row],[CDR''s Weight]]))))</f>
        <v/>
      </c>
      <c r="K71" s="25">
        <f>VLOOKUP(METLTask2[[#This Row],[Commander''s Assessment]],Table2[],2,FALSE)*(1-(($I$71:$I$80-1)*(100/MAX($I$71:$I$80)/100)))</f>
        <v>0.45</v>
      </c>
      <c r="L71" s="26"/>
      <c r="M71" s="25"/>
      <c r="N71" s="25"/>
      <c r="O71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71" s="44"/>
    </row>
    <row r="72" spans="5:16" hidden="1" outlineLevel="1" x14ac:dyDescent="0.3">
      <c r="E72" s="27" t="s">
        <v>24</v>
      </c>
      <c r="F72" s="33"/>
      <c r="G72" s="20" t="s">
        <v>1</v>
      </c>
      <c r="H72" s="35" t="str">
        <f>IF(ISBLANK(METLTask2[[#This Row],[CDR''s Weight]]),"",VLOOKUP(METLTask2[[#This Row],[Commander''s Assessment]],Table2[],2,FALSE)*(1-(METLTask2[CDR''s Weight]-1)*(100/MAX(METLTask2[CDR''s Weight])/100)))</f>
        <v/>
      </c>
      <c r="I72" s="28">
        <v>3</v>
      </c>
      <c r="J72" s="24" t="str">
        <f>IF(ISNUMBER(SEARCH("→",METLTask2[[#This Row],[METL Task 2]])),"",IF(G72=$A$5,$B$5*METLTask2[[#This Row],[CDR''s Weight]],IF(G72=$A$6,$B$6*METLTask2[[#This Row],[CDR''s Weight]],IF(G72=$A$7,$B$7*METLTask2[[#This Row],[CDR''s Weight]]))))</f>
        <v/>
      </c>
      <c r="K72" s="25">
        <f>VLOOKUP(METLTask2[[#This Row],[Commander''s Assessment]],Table2[],2,FALSE)*(1-(($I$71:$I$80-1)*(100/MAX($I$71:$I$80)/100)))</f>
        <v>0.8</v>
      </c>
      <c r="L72" s="26"/>
      <c r="M72" s="25"/>
      <c r="N72" s="25"/>
      <c r="O72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72" s="44"/>
    </row>
    <row r="73" spans="5:16" hidden="1" outlineLevel="1" x14ac:dyDescent="0.3">
      <c r="E73" s="27" t="s">
        <v>24</v>
      </c>
      <c r="F73" s="31"/>
      <c r="G73" s="20" t="s">
        <v>1</v>
      </c>
      <c r="H73" s="35" t="str">
        <f>IF(ISBLANK(METLTask2[[#This Row],[CDR''s Weight]]),"",VLOOKUP(METLTask2[[#This Row],[Commander''s Assessment]],Table2[],2,FALSE)*(1-(METLTask2[CDR''s Weight]-1)*(100/MAX(METLTask2[CDR''s Weight])/100)))</f>
        <v/>
      </c>
      <c r="I73" s="28">
        <v>4</v>
      </c>
      <c r="J73" s="24" t="str">
        <f>IF(ISNUMBER(SEARCH("→",METLTask2[[#This Row],[METL Task 2]])),"",IF(G73=$A$5,$B$5*METLTask2[[#This Row],[CDR''s Weight]],IF(G73=$A$6,$B$6*METLTask2[[#This Row],[CDR''s Weight]],IF(G73=$A$7,$B$7*METLTask2[[#This Row],[CDR''s Weight]]))))</f>
        <v/>
      </c>
      <c r="K73" s="25">
        <f>VLOOKUP(METLTask2[[#This Row],[Commander''s Assessment]],Table2[],2,FALSE)*(1-(($I$71:$I$80-1)*(100/MAX($I$71:$I$80)/100)))</f>
        <v>0.7</v>
      </c>
      <c r="L73" s="26"/>
      <c r="M73" s="25"/>
      <c r="N73" s="25"/>
      <c r="O73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73" s="44"/>
    </row>
    <row r="74" spans="5:16" hidden="1" outlineLevel="1" x14ac:dyDescent="0.3">
      <c r="E74" s="27" t="s">
        <v>24</v>
      </c>
      <c r="F74" s="33"/>
      <c r="G74" s="20" t="s">
        <v>1</v>
      </c>
      <c r="H74" s="35" t="str">
        <f>IF(ISBLANK(METLTask2[[#This Row],[CDR''s Weight]]),"",VLOOKUP(METLTask2[[#This Row],[Commander''s Assessment]],Table2[],2,FALSE)*(1-(METLTask2[CDR''s Weight]-1)*(100/MAX(METLTask2[CDR''s Weight])/100)))</f>
        <v/>
      </c>
      <c r="I74" s="28">
        <v>5</v>
      </c>
      <c r="J74" s="24" t="str">
        <f>IF(ISNUMBER(SEARCH("→",METLTask2[[#This Row],[METL Task 2]])),"",IF(G74=$A$5,$B$5*METLTask2[[#This Row],[CDR''s Weight]],IF(G74=$A$6,$B$6*METLTask2[[#This Row],[CDR''s Weight]],IF(G74=$A$7,$B$7*METLTask2[[#This Row],[CDR''s Weight]]))))</f>
        <v/>
      </c>
      <c r="K74" s="25">
        <f>VLOOKUP(METLTask2[[#This Row],[Commander''s Assessment]],Table2[],2,FALSE)*(1-(($I$71:$I$80-1)*(100/MAX($I$71:$I$80)/100)))</f>
        <v>0.6</v>
      </c>
      <c r="L74" s="26"/>
      <c r="M74" s="25"/>
      <c r="N74" s="25"/>
      <c r="O74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74" s="44"/>
    </row>
    <row r="75" spans="5:16" hidden="1" outlineLevel="1" x14ac:dyDescent="0.3">
      <c r="E75" s="27" t="s">
        <v>24</v>
      </c>
      <c r="F75" s="33"/>
      <c r="G75" s="20" t="s">
        <v>1</v>
      </c>
      <c r="H75" s="35" t="str">
        <f>IF(ISBLANK(METLTask2[[#This Row],[CDR''s Weight]]),"",VLOOKUP(METLTask2[[#This Row],[Commander''s Assessment]],Table2[],2,FALSE)*(1-(METLTask2[CDR''s Weight]-1)*(100/MAX(METLTask2[CDR''s Weight])/100)))</f>
        <v/>
      </c>
      <c r="I75" s="28">
        <v>6</v>
      </c>
      <c r="J75" s="24" t="str">
        <f>IF(ISNUMBER(SEARCH("→",METLTask2[[#This Row],[METL Task 2]])),"",IF(G75=$A$5,$B$5*METLTask2[[#This Row],[CDR''s Weight]],IF(G75=$A$6,$B$6*METLTask2[[#This Row],[CDR''s Weight]],IF(G75=$A$7,$B$7*METLTask2[[#This Row],[CDR''s Weight]]))))</f>
        <v/>
      </c>
      <c r="K75" s="25">
        <f>VLOOKUP(METLTask2[[#This Row],[Commander''s Assessment]],Table2[],2,FALSE)*(1-(($I$71:$I$80-1)*(100/MAX($I$71:$I$80)/100)))</f>
        <v>0.5</v>
      </c>
      <c r="L75" s="26"/>
      <c r="M75" s="25"/>
      <c r="N75" s="25"/>
      <c r="O75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75" s="44"/>
    </row>
    <row r="76" spans="5:16" hidden="1" outlineLevel="1" x14ac:dyDescent="0.3">
      <c r="E76" s="27" t="s">
        <v>24</v>
      </c>
      <c r="F76" s="33"/>
      <c r="G76" s="20" t="s">
        <v>2</v>
      </c>
      <c r="H76" s="35" t="str">
        <f>IF(ISBLANK(METLTask2[[#This Row],[CDR''s Weight]]),"",VLOOKUP(METLTask2[[#This Row],[Commander''s Assessment]],Table2[],2,FALSE)*(1-(METLTask2[CDR''s Weight]-1)*(100/MAX(METLTask2[CDR''s Weight])/100)))</f>
        <v/>
      </c>
      <c r="I76" s="28">
        <v>7</v>
      </c>
      <c r="J76" s="24" t="str">
        <f>IF(ISNUMBER(SEARCH("→",METLTask2[[#This Row],[METL Task 2]])),"",IF(G76=$A$5,$B$5*METLTask2[[#This Row],[CDR''s Weight]],IF(G76=$A$6,$B$6*METLTask2[[#This Row],[CDR''s Weight]],IF(G76=$A$7,$B$7*METLTask2[[#This Row],[CDR''s Weight]]))))</f>
        <v/>
      </c>
      <c r="K76" s="25">
        <f>VLOOKUP(METLTask2[[#This Row],[Commander''s Assessment]],Table2[],2,FALSE)*(1-(($I$71:$I$80-1)*(100/MAX($I$71:$I$80)/100)))</f>
        <v>0.19999999999999996</v>
      </c>
      <c r="L76" s="26"/>
      <c r="M76" s="25"/>
      <c r="N76" s="25"/>
      <c r="O76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76" s="44"/>
    </row>
    <row r="77" spans="5:16" hidden="1" outlineLevel="1" x14ac:dyDescent="0.3">
      <c r="E77" s="27" t="s">
        <v>24</v>
      </c>
      <c r="F77" s="33"/>
      <c r="G77" s="20" t="s">
        <v>1</v>
      </c>
      <c r="H77" s="35" t="str">
        <f>IF(ISBLANK(METLTask2[[#This Row],[CDR''s Weight]]),"",VLOOKUP(METLTask2[[#This Row],[Commander''s Assessment]],Table2[],2,FALSE)*(1-(METLTask2[CDR''s Weight]-1)*(100/MAX(METLTask2[CDR''s Weight])/100)))</f>
        <v/>
      </c>
      <c r="I77" s="28">
        <v>8</v>
      </c>
      <c r="J77" s="24" t="str">
        <f>IF(ISNUMBER(SEARCH("→",METLTask2[[#This Row],[METL Task 2]])),"",IF(G77=$A$5,$B$5*METLTask2[[#This Row],[CDR''s Weight]],IF(G77=$A$6,$B$6*METLTask2[[#This Row],[CDR''s Weight]],IF(G77=$A$7,$B$7*METLTask2[[#This Row],[CDR''s Weight]]))))</f>
        <v/>
      </c>
      <c r="K77" s="25">
        <f>VLOOKUP(METLTask2[[#This Row],[Commander''s Assessment]],Table2[],2,FALSE)*(1-(($I$71:$I$80-1)*(100/MAX($I$71:$I$80)/100)))</f>
        <v>0.29999999999999993</v>
      </c>
      <c r="L77" s="26"/>
      <c r="M77" s="25"/>
      <c r="N77" s="25"/>
      <c r="O77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77" s="44"/>
    </row>
    <row r="78" spans="5:16" hidden="1" outlineLevel="1" x14ac:dyDescent="0.3">
      <c r="E78" s="27" t="s">
        <v>24</v>
      </c>
      <c r="F78" s="33"/>
      <c r="G78" s="20" t="s">
        <v>1</v>
      </c>
      <c r="H78" s="35" t="str">
        <f>IF(ISBLANK(METLTask2[[#This Row],[CDR''s Weight]]),"",VLOOKUP(METLTask2[[#This Row],[Commander''s Assessment]],Table2[],2,FALSE)*(1-(METLTask2[CDR''s Weight]-1)*(100/MAX(METLTask2[CDR''s Weight])/100)))</f>
        <v/>
      </c>
      <c r="I78" s="28">
        <v>9</v>
      </c>
      <c r="J78" s="24" t="str">
        <f>IF(ISNUMBER(SEARCH("→",METLTask2[[#This Row],[METL Task 2]])),"",IF(G78=$A$5,$B$5*METLTask2[[#This Row],[CDR''s Weight]],IF(G78=$A$6,$B$6*METLTask2[[#This Row],[CDR''s Weight]],IF(G78=$A$7,$B$7*METLTask2[[#This Row],[CDR''s Weight]]))))</f>
        <v/>
      </c>
      <c r="K78" s="25">
        <f>VLOOKUP(METLTask2[[#This Row],[Commander''s Assessment]],Table2[],2,FALSE)*(1-(($I$71:$I$80-1)*(100/MAX($I$71:$I$80)/100)))</f>
        <v>0.19999999999999996</v>
      </c>
      <c r="L78" s="26"/>
      <c r="M78" s="25"/>
      <c r="N78" s="25"/>
      <c r="O78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78" s="44"/>
    </row>
    <row r="79" spans="5:16" hidden="1" outlineLevel="1" x14ac:dyDescent="0.3">
      <c r="E79" s="27" t="s">
        <v>24</v>
      </c>
      <c r="F79" s="33"/>
      <c r="G79" s="20" t="s">
        <v>3</v>
      </c>
      <c r="H79" s="35" t="str">
        <f>IF(ISBLANK(METLTask2[[#This Row],[CDR''s Weight]]),"",VLOOKUP(METLTask2[[#This Row],[Commander''s Assessment]],Table2[],2,FALSE)*(1-(METLTask2[CDR''s Weight]-1)*(100/MAX(METLTask2[CDR''s Weight])/100)))</f>
        <v/>
      </c>
      <c r="I79" s="28">
        <v>10</v>
      </c>
      <c r="J79" s="24" t="str">
        <f>IF(ISNUMBER(SEARCH("→",METLTask2[[#This Row],[METL Task 2]])),"",IF(G79=$A$5,$B$5*METLTask2[[#This Row],[CDR''s Weight]],IF(G79=$A$6,$B$6*METLTask2[[#This Row],[CDR''s Weight]],IF(G79=$A$7,$B$7*METLTask2[[#This Row],[CDR''s Weight]]))))</f>
        <v/>
      </c>
      <c r="K79" s="25">
        <f>VLOOKUP(METLTask2[[#This Row],[Commander''s Assessment]],Table2[],2,FALSE)*(1-(($I$71:$I$80-1)*(100/MAX($I$71:$I$80)/100)))</f>
        <v>9.999999999999998E-4</v>
      </c>
      <c r="L79" s="26"/>
      <c r="M79" s="25"/>
      <c r="N79" s="25"/>
      <c r="O79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79" s="44"/>
    </row>
    <row r="80" spans="5:16" hidden="1" outlineLevel="1" x14ac:dyDescent="0.3">
      <c r="E80" s="27" t="s">
        <v>24</v>
      </c>
      <c r="F80" s="31"/>
      <c r="G80" s="20" t="s">
        <v>3</v>
      </c>
      <c r="H80" s="35" t="str">
        <f>IF(ISBLANK(METLTask2[[#This Row],[CDR''s Weight]]),"",VLOOKUP(METLTask2[[#This Row],[Commander''s Assessment]],Table2[],2,FALSE)*(1-(METLTask2[CDR''s Weight]-1)*(100/MAX(METLTask2[CDR''s Weight])/100)))</f>
        <v/>
      </c>
      <c r="I80" s="29">
        <v>1</v>
      </c>
      <c r="J80" s="24" t="str">
        <f>IF(ISNUMBER(SEARCH("→",METLTask2[[#This Row],[METL Task 2]])),"",IF(G80=$A$5,$B$5*METLTask2[[#This Row],[CDR''s Weight]],IF(G80=$A$6,$B$6*METLTask2[[#This Row],[CDR''s Weight]],IF(G80=$A$7,$B$7*METLTask2[[#This Row],[CDR''s Weight]]))))</f>
        <v/>
      </c>
      <c r="K80" s="25">
        <f>VLOOKUP(METLTask2[[#This Row],[Commander''s Assessment]],Table2[],2,FALSE)*(1-(($I$71:$I$80-1)*(100/MAX($I$71:$I$80)/100)))</f>
        <v>0.01</v>
      </c>
      <c r="L80" s="26"/>
      <c r="M80" s="21"/>
      <c r="N80" s="21"/>
      <c r="O80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80" s="44"/>
    </row>
    <row r="81" spans="5:16" collapsed="1" x14ac:dyDescent="0.3">
      <c r="E81" s="22" t="s">
        <v>16</v>
      </c>
      <c r="F81" s="20">
        <v>8</v>
      </c>
      <c r="G81" s="20" t="s">
        <v>18</v>
      </c>
      <c r="H81" s="35">
        <f>IF(ISBLANK(METLTask2[[#This Row],[CDR''s Weight]]),"",VLOOKUP(METLTask2[[#This Row],[Commander''s Assessment]],Table2[],2,FALSE)*(1-(METLTask2[CDR''s Weight]-1)*(100/MAX(METLTask2[CDR''s Weight])/100)))</f>
        <v>0.29999999999999993</v>
      </c>
      <c r="I81" s="23"/>
      <c r="J81" s="24">
        <f>IF(ISNUMBER(SEARCH("→",METLTask2[[#This Row],[METL Task 2]])),"",IF(G81=$A$5,$B$5*METLTask2[[#This Row],[CDR''s Weight]],IF(G81=$A$6,$B$6*METLTask2[[#This Row],[CDR''s Weight]],IF(G81=$A$7,$B$7*METLTask2[[#This Row],[CDR''s Weight]]))))</f>
        <v>8</v>
      </c>
      <c r="K81" s="25" t="str">
        <f>IF(ISNUMBER(METLTask2[[#This Row],[Total]]),"",VLOOKUP(METLTask2[[#This Row],[Commander''s Assessment]],Table2[],2,FALSE)*(1-(($I$82:$I$91-1)*(100/MAX($I$82:$I$91)/100))))</f>
        <v/>
      </c>
      <c r="L81" s="26">
        <f>SUM(I82:I91)</f>
        <v>55</v>
      </c>
      <c r="M81" s="25">
        <f>SUM(K82:K91)*10</f>
        <v>37.61</v>
      </c>
      <c r="N81" s="25">
        <f>METLTask2[[#This Row],[New SB Total]]/METLTask2[[#This Row],[New SB Weight]]</f>
        <v>0.68381818181818177</v>
      </c>
      <c r="O81" s="2" t="str">
        <f>IF(ISBLANK(METLTask2[[#This Row],[calc]]),"",IF(METLTask2[[#This Row],[calc]]&gt;=0.66,$A$5,IF(AND(METLTask2[[#This Row],[calc]]&lt;0.66,METLTask2[[#This Row],[calc]]&gt;=0.33),$A$6,IF(METLTask2[[#This Row],[calc]]&lt;0.33,"U"))))</f>
        <v>T</v>
      </c>
      <c r="P81" s="44"/>
    </row>
    <row r="82" spans="5:16" hidden="1" outlineLevel="1" x14ac:dyDescent="0.3">
      <c r="E82" s="27" t="s">
        <v>33</v>
      </c>
      <c r="F82" s="33"/>
      <c r="G82" s="20" t="s">
        <v>2</v>
      </c>
      <c r="H82" s="35" t="str">
        <f>IF(ISBLANK(METLTask2[[#This Row],[CDR''s Weight]]),"",VLOOKUP(METLTask2[[#This Row],[Commander''s Assessment]],Table2[],2,FALSE)*(1-(METLTask2[CDR''s Weight]-1)*(100/MAX(METLTask2[CDR''s Weight])/100)))</f>
        <v/>
      </c>
      <c r="I82" s="28">
        <v>2</v>
      </c>
      <c r="J82" s="24" t="str">
        <f>IF(ISNUMBER(SEARCH("→",METLTask2[[#This Row],[METL Task 2]])),"",IF(G82=$A$5,$B$5*METLTask2[[#This Row],[CDR''s Weight]],IF(G82=$A$6,$B$6*METLTask2[[#This Row],[CDR''s Weight]],IF(G82=$A$7,$B$7*METLTask2[[#This Row],[CDR''s Weight]]))))</f>
        <v/>
      </c>
      <c r="K82" s="25">
        <f>VLOOKUP(METLTask2[[#This Row],[Commander''s Assessment]],Table2[],2,FALSE)*(1-(($I$82:$I$91-1)*(100/MAX($I$82:$I$91)/100)))</f>
        <v>0.45</v>
      </c>
      <c r="L82" s="26"/>
      <c r="M82" s="25"/>
      <c r="N82" s="25"/>
      <c r="O82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82" s="44"/>
    </row>
    <row r="83" spans="5:16" hidden="1" outlineLevel="1" x14ac:dyDescent="0.3">
      <c r="E83" s="27" t="s">
        <v>24</v>
      </c>
      <c r="F83" s="33"/>
      <c r="G83" s="20" t="s">
        <v>1</v>
      </c>
      <c r="H83" s="35" t="str">
        <f>IF(ISBLANK(METLTask2[[#This Row],[CDR''s Weight]]),"",VLOOKUP(METLTask2[[#This Row],[Commander''s Assessment]],Table2[],2,FALSE)*(1-(METLTask2[CDR''s Weight]-1)*(100/MAX(METLTask2[CDR''s Weight])/100)))</f>
        <v/>
      </c>
      <c r="I83" s="28">
        <v>3</v>
      </c>
      <c r="J83" s="24" t="str">
        <f>IF(ISNUMBER(SEARCH("→",METLTask2[[#This Row],[METL Task 2]])),"",IF(G83=$A$5,$B$5*METLTask2[[#This Row],[CDR''s Weight]],IF(G83=$A$6,$B$6*METLTask2[[#This Row],[CDR''s Weight]],IF(G83=$A$7,$B$7*METLTask2[[#This Row],[CDR''s Weight]]))))</f>
        <v/>
      </c>
      <c r="K83" s="25">
        <f>VLOOKUP(METLTask2[[#This Row],[Commander''s Assessment]],Table2[],2,FALSE)*(1-(($I$82:$I$91-1)*(100/MAX($I$82:$I$91)/100)))</f>
        <v>0.8</v>
      </c>
      <c r="L83" s="26"/>
      <c r="M83" s="25"/>
      <c r="N83" s="25"/>
      <c r="O83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83" s="44"/>
    </row>
    <row r="84" spans="5:16" hidden="1" outlineLevel="1" x14ac:dyDescent="0.3">
      <c r="E84" s="27" t="s">
        <v>24</v>
      </c>
      <c r="F84" s="31"/>
      <c r="G84" s="20" t="s">
        <v>1</v>
      </c>
      <c r="H84" s="35" t="str">
        <f>IF(ISBLANK(METLTask2[[#This Row],[CDR''s Weight]]),"",VLOOKUP(METLTask2[[#This Row],[Commander''s Assessment]],Table2[],2,FALSE)*(1-(METLTask2[CDR''s Weight]-1)*(100/MAX(METLTask2[CDR''s Weight])/100)))</f>
        <v/>
      </c>
      <c r="I84" s="28">
        <v>4</v>
      </c>
      <c r="J84" s="24" t="str">
        <f>IF(ISNUMBER(SEARCH("→",METLTask2[[#This Row],[METL Task 2]])),"",IF(G84=$A$5,$B$5*METLTask2[[#This Row],[CDR''s Weight]],IF(G84=$A$6,$B$6*METLTask2[[#This Row],[CDR''s Weight]],IF(G84=$A$7,$B$7*METLTask2[[#This Row],[CDR''s Weight]]))))</f>
        <v/>
      </c>
      <c r="K84" s="25">
        <f>VLOOKUP(METLTask2[[#This Row],[Commander''s Assessment]],Table2[],2,FALSE)*(1-(($I$82:$I$91-1)*(100/MAX($I$82:$I$91)/100)))</f>
        <v>0.7</v>
      </c>
      <c r="L84" s="26"/>
      <c r="M84" s="25"/>
      <c r="N84" s="25"/>
      <c r="O84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84" s="44"/>
    </row>
    <row r="85" spans="5:16" hidden="1" outlineLevel="1" x14ac:dyDescent="0.3">
      <c r="E85" s="27" t="s">
        <v>24</v>
      </c>
      <c r="F85" s="33"/>
      <c r="G85" s="20" t="s">
        <v>1</v>
      </c>
      <c r="H85" s="35" t="str">
        <f>IF(ISBLANK(METLTask2[[#This Row],[CDR''s Weight]]),"",VLOOKUP(METLTask2[[#This Row],[Commander''s Assessment]],Table2[],2,FALSE)*(1-(METLTask2[CDR''s Weight]-1)*(100/MAX(METLTask2[CDR''s Weight])/100)))</f>
        <v/>
      </c>
      <c r="I85" s="28">
        <v>5</v>
      </c>
      <c r="J85" s="24" t="str">
        <f>IF(ISNUMBER(SEARCH("→",METLTask2[[#This Row],[METL Task 2]])),"",IF(G85=$A$5,$B$5*METLTask2[[#This Row],[CDR''s Weight]],IF(G85=$A$6,$B$6*METLTask2[[#This Row],[CDR''s Weight]],IF(G85=$A$7,$B$7*METLTask2[[#This Row],[CDR''s Weight]]))))</f>
        <v/>
      </c>
      <c r="K85" s="25">
        <f>VLOOKUP(METLTask2[[#This Row],[Commander''s Assessment]],Table2[],2,FALSE)*(1-(($I$82:$I$91-1)*(100/MAX($I$82:$I$91)/100)))</f>
        <v>0.6</v>
      </c>
      <c r="L85" s="26"/>
      <c r="M85" s="25"/>
      <c r="N85" s="25"/>
      <c r="O85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85" s="44"/>
    </row>
    <row r="86" spans="5:16" hidden="1" outlineLevel="1" x14ac:dyDescent="0.3">
      <c r="E86" s="27" t="s">
        <v>24</v>
      </c>
      <c r="F86" s="33"/>
      <c r="G86" s="20" t="s">
        <v>1</v>
      </c>
      <c r="H86" s="35" t="str">
        <f>IF(ISBLANK(METLTask2[[#This Row],[CDR''s Weight]]),"",VLOOKUP(METLTask2[[#This Row],[Commander''s Assessment]],Table2[],2,FALSE)*(1-(METLTask2[CDR''s Weight]-1)*(100/MAX(METLTask2[CDR''s Weight])/100)))</f>
        <v/>
      </c>
      <c r="I86" s="28">
        <v>6</v>
      </c>
      <c r="J86" s="24" t="str">
        <f>IF(ISNUMBER(SEARCH("→",METLTask2[[#This Row],[METL Task 2]])),"",IF(G86=$A$5,$B$5*METLTask2[[#This Row],[CDR''s Weight]],IF(G86=$A$6,$B$6*METLTask2[[#This Row],[CDR''s Weight]],IF(G86=$A$7,$B$7*METLTask2[[#This Row],[CDR''s Weight]]))))</f>
        <v/>
      </c>
      <c r="K86" s="25">
        <f>VLOOKUP(METLTask2[[#This Row],[Commander''s Assessment]],Table2[],2,FALSE)*(1-(($I$82:$I$91-1)*(100/MAX($I$82:$I$91)/100)))</f>
        <v>0.5</v>
      </c>
      <c r="L86" s="26"/>
      <c r="M86" s="25"/>
      <c r="N86" s="25"/>
      <c r="O86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86" s="44"/>
    </row>
    <row r="87" spans="5:16" hidden="1" outlineLevel="1" x14ac:dyDescent="0.3">
      <c r="E87" s="27" t="s">
        <v>24</v>
      </c>
      <c r="F87" s="33"/>
      <c r="G87" s="20" t="s">
        <v>2</v>
      </c>
      <c r="H87" s="35" t="str">
        <f>IF(ISBLANK(METLTask2[[#This Row],[CDR''s Weight]]),"",VLOOKUP(METLTask2[[#This Row],[Commander''s Assessment]],Table2[],2,FALSE)*(1-(METLTask2[CDR''s Weight]-1)*(100/MAX(METLTask2[CDR''s Weight])/100)))</f>
        <v/>
      </c>
      <c r="I87" s="28">
        <v>7</v>
      </c>
      <c r="J87" s="24" t="str">
        <f>IF(ISNUMBER(SEARCH("→",METLTask2[[#This Row],[METL Task 2]])),"",IF(G87=$A$5,$B$5*METLTask2[[#This Row],[CDR''s Weight]],IF(G87=$A$6,$B$6*METLTask2[[#This Row],[CDR''s Weight]],IF(G87=$A$7,$B$7*METLTask2[[#This Row],[CDR''s Weight]]))))</f>
        <v/>
      </c>
      <c r="K87" s="25">
        <f>VLOOKUP(METLTask2[[#This Row],[Commander''s Assessment]],Table2[],2,FALSE)*(1-(($I$82:$I$91-1)*(100/MAX($I$82:$I$91)/100)))</f>
        <v>0.19999999999999996</v>
      </c>
      <c r="L87" s="26"/>
      <c r="M87" s="25"/>
      <c r="N87" s="25"/>
      <c r="O87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87" s="44"/>
    </row>
    <row r="88" spans="5:16" hidden="1" outlineLevel="1" x14ac:dyDescent="0.3">
      <c r="E88" s="27" t="s">
        <v>24</v>
      </c>
      <c r="F88" s="33"/>
      <c r="G88" s="20" t="s">
        <v>1</v>
      </c>
      <c r="H88" s="35" t="str">
        <f>IF(ISBLANK(METLTask2[[#This Row],[CDR''s Weight]]),"",VLOOKUP(METLTask2[[#This Row],[Commander''s Assessment]],Table2[],2,FALSE)*(1-(METLTask2[CDR''s Weight]-1)*(100/MAX(METLTask2[CDR''s Weight])/100)))</f>
        <v/>
      </c>
      <c r="I88" s="28">
        <v>8</v>
      </c>
      <c r="J88" s="24" t="str">
        <f>IF(ISNUMBER(SEARCH("→",METLTask2[[#This Row],[METL Task 2]])),"",IF(G88=$A$5,$B$5*METLTask2[[#This Row],[CDR''s Weight]],IF(G88=$A$6,$B$6*METLTask2[[#This Row],[CDR''s Weight]],IF(G88=$A$7,$B$7*METLTask2[[#This Row],[CDR''s Weight]]))))</f>
        <v/>
      </c>
      <c r="K88" s="25">
        <f>VLOOKUP(METLTask2[[#This Row],[Commander''s Assessment]],Table2[],2,FALSE)*(1-(($I$82:$I$91-1)*(100/MAX($I$82:$I$91)/100)))</f>
        <v>0.29999999999999993</v>
      </c>
      <c r="L88" s="26"/>
      <c r="M88" s="25"/>
      <c r="N88" s="25"/>
      <c r="O88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88" s="44"/>
    </row>
    <row r="89" spans="5:16" hidden="1" outlineLevel="1" x14ac:dyDescent="0.3">
      <c r="E89" s="27" t="s">
        <v>24</v>
      </c>
      <c r="F89" s="33"/>
      <c r="G89" s="20" t="s">
        <v>1</v>
      </c>
      <c r="H89" s="35" t="str">
        <f>IF(ISBLANK(METLTask2[[#This Row],[CDR''s Weight]]),"",VLOOKUP(METLTask2[[#This Row],[Commander''s Assessment]],Table2[],2,FALSE)*(1-(METLTask2[CDR''s Weight]-1)*(100/MAX(METLTask2[CDR''s Weight])/100)))</f>
        <v/>
      </c>
      <c r="I89" s="28">
        <v>9</v>
      </c>
      <c r="J89" s="24" t="str">
        <f>IF(ISNUMBER(SEARCH("→",METLTask2[[#This Row],[METL Task 2]])),"",IF(G89=$A$5,$B$5*METLTask2[[#This Row],[CDR''s Weight]],IF(G89=$A$6,$B$6*METLTask2[[#This Row],[CDR''s Weight]],IF(G89=$A$7,$B$7*METLTask2[[#This Row],[CDR''s Weight]]))))</f>
        <v/>
      </c>
      <c r="K89" s="25">
        <f>VLOOKUP(METLTask2[[#This Row],[Commander''s Assessment]],Table2[],2,FALSE)*(1-(($I$82:$I$91-1)*(100/MAX($I$82:$I$91)/100)))</f>
        <v>0.19999999999999996</v>
      </c>
      <c r="L89" s="26"/>
      <c r="M89" s="25"/>
      <c r="N89" s="25"/>
      <c r="O89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89" s="44"/>
    </row>
    <row r="90" spans="5:16" hidden="1" outlineLevel="1" x14ac:dyDescent="0.3">
      <c r="E90" s="27" t="s">
        <v>24</v>
      </c>
      <c r="F90" s="33"/>
      <c r="G90" s="20" t="s">
        <v>3</v>
      </c>
      <c r="H90" s="35" t="str">
        <f>IF(ISBLANK(METLTask2[[#This Row],[CDR''s Weight]]),"",VLOOKUP(METLTask2[[#This Row],[Commander''s Assessment]],Table2[],2,FALSE)*(1-(METLTask2[CDR''s Weight]-1)*(100/MAX(METLTask2[CDR''s Weight])/100)))</f>
        <v/>
      </c>
      <c r="I90" s="28">
        <v>10</v>
      </c>
      <c r="J90" s="24" t="str">
        <f>IF(ISNUMBER(SEARCH("→",METLTask2[[#This Row],[METL Task 2]])),"",IF(G90=$A$5,$B$5*METLTask2[[#This Row],[CDR''s Weight]],IF(G90=$A$6,$B$6*METLTask2[[#This Row],[CDR''s Weight]],IF(G90=$A$7,$B$7*METLTask2[[#This Row],[CDR''s Weight]]))))</f>
        <v/>
      </c>
      <c r="K90" s="25">
        <f>VLOOKUP(METLTask2[[#This Row],[Commander''s Assessment]],Table2[],2,FALSE)*(1-(($I$82:$I$91-1)*(100/MAX($I$82:$I$91)/100)))</f>
        <v>9.999999999999998E-4</v>
      </c>
      <c r="L90" s="26"/>
      <c r="M90" s="25"/>
      <c r="N90" s="25"/>
      <c r="O90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90" s="44"/>
    </row>
    <row r="91" spans="5:16" hidden="1" outlineLevel="1" x14ac:dyDescent="0.3">
      <c r="E91" s="27" t="s">
        <v>24</v>
      </c>
      <c r="F91" s="31"/>
      <c r="G91" s="20" t="s">
        <v>3</v>
      </c>
      <c r="H91" s="35" t="str">
        <f>IF(ISBLANK(METLTask2[[#This Row],[CDR''s Weight]]),"",VLOOKUP(METLTask2[[#This Row],[Commander''s Assessment]],Table2[],2,FALSE)*(1-(METLTask2[CDR''s Weight]-1)*(100/MAX(METLTask2[CDR''s Weight])/100)))</f>
        <v/>
      </c>
      <c r="I91" s="29">
        <v>1</v>
      </c>
      <c r="J91" s="24" t="str">
        <f>IF(ISNUMBER(SEARCH("→",METLTask2[[#This Row],[METL Task 2]])),"",IF(G91=$A$5,$B$5*METLTask2[[#This Row],[CDR''s Weight]],IF(G91=$A$6,$B$6*METLTask2[[#This Row],[CDR''s Weight]],IF(G91=$A$7,$B$7*METLTask2[[#This Row],[CDR''s Weight]]))))</f>
        <v/>
      </c>
      <c r="K91" s="25">
        <f>VLOOKUP(METLTask2[[#This Row],[Commander''s Assessment]],Table2[],2,FALSE)*(1-(($I$82:$I$91-1)*(100/MAX($I$82:$I$91)/100)))</f>
        <v>0.01</v>
      </c>
      <c r="L91" s="26"/>
      <c r="M91" s="21"/>
      <c r="N91" s="21"/>
      <c r="O91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91" s="44"/>
    </row>
    <row r="92" spans="5:16" collapsed="1" x14ac:dyDescent="0.3">
      <c r="E92" s="22" t="s">
        <v>16</v>
      </c>
      <c r="F92" s="20">
        <v>9</v>
      </c>
      <c r="G92" s="20" t="s">
        <v>18</v>
      </c>
      <c r="H92" s="35">
        <f>IF(ISBLANK(METLTask2[[#This Row],[CDR''s Weight]]),"",VLOOKUP(METLTask2[[#This Row],[Commander''s Assessment]],Table2[],2,FALSE)*(1-(METLTask2[CDR''s Weight]-1)*(100/MAX(METLTask2[CDR''s Weight])/100)))</f>
        <v>0.19999999999999996</v>
      </c>
      <c r="I92" s="23"/>
      <c r="J92" s="24">
        <f>IF(ISNUMBER(SEARCH("→",METLTask2[[#This Row],[METL Task 2]])),"",IF(G92=$A$5,$B$5*METLTask2[[#This Row],[CDR''s Weight]],IF(G92=$A$6,$B$6*METLTask2[[#This Row],[CDR''s Weight]],IF(G92=$A$7,$B$7*METLTask2[[#This Row],[CDR''s Weight]]))))</f>
        <v>9</v>
      </c>
      <c r="K92" s="25" t="str">
        <f>IF(ISNUMBER(METLTask2[[#This Row],[Total]]),"",VLOOKUP(METLTask2[[#This Row],[Commander''s Assessment]],Table2[],2,FALSE)*(1-(($I$93:$I$102-1)*(100/MAX($I$93:$I$102)/100))))</f>
        <v/>
      </c>
      <c r="L92" s="26">
        <f>SUM(I93:I102)</f>
        <v>55</v>
      </c>
      <c r="M92" s="25">
        <f>SUM(K93:K102)*10</f>
        <v>37.61</v>
      </c>
      <c r="N92" s="25">
        <f>METLTask2[[#This Row],[New SB Total]]/METLTask2[[#This Row],[New SB Weight]]</f>
        <v>0.68381818181818177</v>
      </c>
      <c r="O92" s="2" t="str">
        <f>IF(ISBLANK(METLTask2[[#This Row],[calc]]),"",IF(METLTask2[[#This Row],[calc]]&gt;=0.66,$A$5,IF(AND(METLTask2[[#This Row],[calc]]&lt;0.66,METLTask2[[#This Row],[calc]]&gt;=0.33),$A$6,IF(METLTask2[[#This Row],[calc]]&lt;0.33,"U"))))</f>
        <v>T</v>
      </c>
      <c r="P92" s="44"/>
    </row>
    <row r="93" spans="5:16" hidden="1" outlineLevel="1" x14ac:dyDescent="0.3">
      <c r="E93" s="27" t="s">
        <v>33</v>
      </c>
      <c r="F93" s="33"/>
      <c r="G93" s="20" t="s">
        <v>2</v>
      </c>
      <c r="H93" s="35" t="str">
        <f>IF(ISBLANK(METLTask2[[#This Row],[CDR''s Weight]]),"",VLOOKUP(METLTask2[[#This Row],[Commander''s Assessment]],Table2[],2,FALSE)*(1-(METLTask2[CDR''s Weight]-1)*(100/MAX(METLTask2[CDR''s Weight])/100)))</f>
        <v/>
      </c>
      <c r="I93" s="28">
        <v>2</v>
      </c>
      <c r="J93" s="24" t="str">
        <f>IF(ISNUMBER(SEARCH("→",METLTask2[[#This Row],[METL Task 2]])),"",IF(G93=$A$5,$B$5*METLTask2[[#This Row],[CDR''s Weight]],IF(G93=$A$6,$B$6*METLTask2[[#This Row],[CDR''s Weight]],IF(G93=$A$7,$B$7*METLTask2[[#This Row],[CDR''s Weight]]))))</f>
        <v/>
      </c>
      <c r="K93" s="25">
        <f>VLOOKUP(METLTask2[[#This Row],[Commander''s Assessment]],Table2[],2,FALSE)*(1-(($I$93:$I$102-1)*(100/MAX($I$93:$I$102)/100)))</f>
        <v>0.45</v>
      </c>
      <c r="L93" s="26"/>
      <c r="M93" s="25"/>
      <c r="N93" s="25"/>
      <c r="O93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93" s="44"/>
    </row>
    <row r="94" spans="5:16" hidden="1" outlineLevel="1" x14ac:dyDescent="0.3">
      <c r="E94" s="27" t="s">
        <v>24</v>
      </c>
      <c r="F94" s="33"/>
      <c r="G94" s="20" t="s">
        <v>1</v>
      </c>
      <c r="H94" s="35" t="str">
        <f>IF(ISBLANK(METLTask2[[#This Row],[CDR''s Weight]]),"",VLOOKUP(METLTask2[[#This Row],[Commander''s Assessment]],Table2[],2,FALSE)*(1-(METLTask2[CDR''s Weight]-1)*(100/MAX(METLTask2[CDR''s Weight])/100)))</f>
        <v/>
      </c>
      <c r="I94" s="28">
        <v>3</v>
      </c>
      <c r="J94" s="24" t="str">
        <f>IF(ISNUMBER(SEARCH("→",METLTask2[[#This Row],[METL Task 2]])),"",IF(G94=$A$5,$B$5*METLTask2[[#This Row],[CDR''s Weight]],IF(G94=$A$6,$B$6*METLTask2[[#This Row],[CDR''s Weight]],IF(G94=$A$7,$B$7*METLTask2[[#This Row],[CDR''s Weight]]))))</f>
        <v/>
      </c>
      <c r="K94" s="25">
        <f>VLOOKUP(METLTask2[[#This Row],[Commander''s Assessment]],Table2[],2,FALSE)*(1-(($I$93:$I$102-1)*(100/MAX($I$93:$I$102)/100)))</f>
        <v>0.8</v>
      </c>
      <c r="L94" s="26"/>
      <c r="M94" s="25"/>
      <c r="N94" s="25"/>
      <c r="O94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94" s="44"/>
    </row>
    <row r="95" spans="5:16" hidden="1" outlineLevel="1" x14ac:dyDescent="0.3">
      <c r="E95" s="27" t="s">
        <v>24</v>
      </c>
      <c r="F95" s="31"/>
      <c r="G95" s="20" t="s">
        <v>1</v>
      </c>
      <c r="H95" s="35" t="str">
        <f>IF(ISBLANK(METLTask2[[#This Row],[CDR''s Weight]]),"",VLOOKUP(METLTask2[[#This Row],[Commander''s Assessment]],Table2[],2,FALSE)*(1-(METLTask2[CDR''s Weight]-1)*(100/MAX(METLTask2[CDR''s Weight])/100)))</f>
        <v/>
      </c>
      <c r="I95" s="28">
        <v>4</v>
      </c>
      <c r="J95" s="24" t="str">
        <f>IF(ISNUMBER(SEARCH("→",METLTask2[[#This Row],[METL Task 2]])),"",IF(G95=$A$5,$B$5*METLTask2[[#This Row],[CDR''s Weight]],IF(G95=$A$6,$B$6*METLTask2[[#This Row],[CDR''s Weight]],IF(G95=$A$7,$B$7*METLTask2[[#This Row],[CDR''s Weight]]))))</f>
        <v/>
      </c>
      <c r="K95" s="25">
        <f>VLOOKUP(METLTask2[[#This Row],[Commander''s Assessment]],Table2[],2,FALSE)*(1-(($I$93:$I$102-1)*(100/MAX($I$93:$I$102)/100)))</f>
        <v>0.7</v>
      </c>
      <c r="L95" s="26"/>
      <c r="M95" s="25"/>
      <c r="N95" s="25"/>
      <c r="O95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95" s="44"/>
    </row>
    <row r="96" spans="5:16" hidden="1" outlineLevel="1" x14ac:dyDescent="0.3">
      <c r="E96" s="27" t="s">
        <v>24</v>
      </c>
      <c r="F96" s="33"/>
      <c r="G96" s="20" t="s">
        <v>1</v>
      </c>
      <c r="H96" s="35" t="str">
        <f>IF(ISBLANK(METLTask2[[#This Row],[CDR''s Weight]]),"",VLOOKUP(METLTask2[[#This Row],[Commander''s Assessment]],Table2[],2,FALSE)*(1-(METLTask2[CDR''s Weight]-1)*(100/MAX(METLTask2[CDR''s Weight])/100)))</f>
        <v/>
      </c>
      <c r="I96" s="28">
        <v>5</v>
      </c>
      <c r="J96" s="24" t="str">
        <f>IF(ISNUMBER(SEARCH("→",METLTask2[[#This Row],[METL Task 2]])),"",IF(G96=$A$5,$B$5*METLTask2[[#This Row],[CDR''s Weight]],IF(G96=$A$6,$B$6*METLTask2[[#This Row],[CDR''s Weight]],IF(G96=$A$7,$B$7*METLTask2[[#This Row],[CDR''s Weight]]))))</f>
        <v/>
      </c>
      <c r="K96" s="25">
        <f>VLOOKUP(METLTask2[[#This Row],[Commander''s Assessment]],Table2[],2,FALSE)*(1-(($I$93:$I$102-1)*(100/MAX($I$93:$I$102)/100)))</f>
        <v>0.6</v>
      </c>
      <c r="L96" s="26"/>
      <c r="M96" s="25"/>
      <c r="N96" s="25"/>
      <c r="O96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96" s="44"/>
    </row>
    <row r="97" spans="5:16" hidden="1" outlineLevel="1" x14ac:dyDescent="0.3">
      <c r="E97" s="27" t="s">
        <v>24</v>
      </c>
      <c r="F97" s="33"/>
      <c r="G97" s="20" t="s">
        <v>1</v>
      </c>
      <c r="H97" s="35" t="str">
        <f>IF(ISBLANK(METLTask2[[#This Row],[CDR''s Weight]]),"",VLOOKUP(METLTask2[[#This Row],[Commander''s Assessment]],Table2[],2,FALSE)*(1-(METLTask2[CDR''s Weight]-1)*(100/MAX(METLTask2[CDR''s Weight])/100)))</f>
        <v/>
      </c>
      <c r="I97" s="28">
        <v>6</v>
      </c>
      <c r="J97" s="24" t="str">
        <f>IF(ISNUMBER(SEARCH("→",METLTask2[[#This Row],[METL Task 2]])),"",IF(G97=$A$5,$B$5*METLTask2[[#This Row],[CDR''s Weight]],IF(G97=$A$6,$B$6*METLTask2[[#This Row],[CDR''s Weight]],IF(G97=$A$7,$B$7*METLTask2[[#This Row],[CDR''s Weight]]))))</f>
        <v/>
      </c>
      <c r="K97" s="25">
        <f>VLOOKUP(METLTask2[[#This Row],[Commander''s Assessment]],Table2[],2,FALSE)*(1-(($I$93:$I$102-1)*(100/MAX($I$93:$I$102)/100)))</f>
        <v>0.5</v>
      </c>
      <c r="L97" s="26"/>
      <c r="M97" s="25"/>
      <c r="N97" s="25"/>
      <c r="O97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97" s="44"/>
    </row>
    <row r="98" spans="5:16" hidden="1" outlineLevel="1" x14ac:dyDescent="0.3">
      <c r="E98" s="27" t="s">
        <v>24</v>
      </c>
      <c r="F98" s="33"/>
      <c r="G98" s="20" t="s">
        <v>2</v>
      </c>
      <c r="H98" s="35" t="str">
        <f>IF(ISBLANK(METLTask2[[#This Row],[CDR''s Weight]]),"",VLOOKUP(METLTask2[[#This Row],[Commander''s Assessment]],Table2[],2,FALSE)*(1-(METLTask2[CDR''s Weight]-1)*(100/MAX(METLTask2[CDR''s Weight])/100)))</f>
        <v/>
      </c>
      <c r="I98" s="28">
        <v>7</v>
      </c>
      <c r="J98" s="24" t="str">
        <f>IF(ISNUMBER(SEARCH("→",METLTask2[[#This Row],[METL Task 2]])),"",IF(G98=$A$5,$B$5*METLTask2[[#This Row],[CDR''s Weight]],IF(G98=$A$6,$B$6*METLTask2[[#This Row],[CDR''s Weight]],IF(G98=$A$7,$B$7*METLTask2[[#This Row],[CDR''s Weight]]))))</f>
        <v/>
      </c>
      <c r="K98" s="25">
        <f>VLOOKUP(METLTask2[[#This Row],[Commander''s Assessment]],Table2[],2,FALSE)*(1-(($I$93:$I$102-1)*(100/MAX($I$93:$I$102)/100)))</f>
        <v>0.19999999999999996</v>
      </c>
      <c r="L98" s="26"/>
      <c r="M98" s="25"/>
      <c r="N98" s="25"/>
      <c r="O98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98" s="44"/>
    </row>
    <row r="99" spans="5:16" hidden="1" outlineLevel="1" x14ac:dyDescent="0.3">
      <c r="E99" s="27" t="s">
        <v>24</v>
      </c>
      <c r="F99" s="33"/>
      <c r="G99" s="20" t="s">
        <v>1</v>
      </c>
      <c r="H99" s="35" t="str">
        <f>IF(ISBLANK(METLTask2[[#This Row],[CDR''s Weight]]),"",VLOOKUP(METLTask2[[#This Row],[Commander''s Assessment]],Table2[],2,FALSE)*(1-(METLTask2[CDR''s Weight]-1)*(100/MAX(METLTask2[CDR''s Weight])/100)))</f>
        <v/>
      </c>
      <c r="I99" s="28">
        <v>8</v>
      </c>
      <c r="J99" s="24" t="str">
        <f>IF(ISNUMBER(SEARCH("→",METLTask2[[#This Row],[METL Task 2]])),"",IF(G99=$A$5,$B$5*METLTask2[[#This Row],[CDR''s Weight]],IF(G99=$A$6,$B$6*METLTask2[[#This Row],[CDR''s Weight]],IF(G99=$A$7,$B$7*METLTask2[[#This Row],[CDR''s Weight]]))))</f>
        <v/>
      </c>
      <c r="K99" s="25">
        <f>VLOOKUP(METLTask2[[#This Row],[Commander''s Assessment]],Table2[],2,FALSE)*(1-(($I$93:$I$102-1)*(100/MAX($I$93:$I$102)/100)))</f>
        <v>0.29999999999999993</v>
      </c>
      <c r="L99" s="26"/>
      <c r="M99" s="25"/>
      <c r="N99" s="25"/>
      <c r="O99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99" s="44"/>
    </row>
    <row r="100" spans="5:16" hidden="1" outlineLevel="1" x14ac:dyDescent="0.3">
      <c r="E100" s="27" t="s">
        <v>24</v>
      </c>
      <c r="F100" s="33"/>
      <c r="G100" s="20" t="s">
        <v>1</v>
      </c>
      <c r="H100" s="35" t="str">
        <f>IF(ISBLANK(METLTask2[[#This Row],[CDR''s Weight]]),"",VLOOKUP(METLTask2[[#This Row],[Commander''s Assessment]],Table2[],2,FALSE)*(1-(METLTask2[CDR''s Weight]-1)*(100/MAX(METLTask2[CDR''s Weight])/100)))</f>
        <v/>
      </c>
      <c r="I100" s="28">
        <v>9</v>
      </c>
      <c r="J100" s="24" t="str">
        <f>IF(ISNUMBER(SEARCH("→",METLTask2[[#This Row],[METL Task 2]])),"",IF(G100=$A$5,$B$5*METLTask2[[#This Row],[CDR''s Weight]],IF(G100=$A$6,$B$6*METLTask2[[#This Row],[CDR''s Weight]],IF(G100=$A$7,$B$7*METLTask2[[#This Row],[CDR''s Weight]]))))</f>
        <v/>
      </c>
      <c r="K100" s="25">
        <f>VLOOKUP(METLTask2[[#This Row],[Commander''s Assessment]],Table2[],2,FALSE)*(1-(($I$93:$I$102-1)*(100/MAX($I$93:$I$102)/100)))</f>
        <v>0.19999999999999996</v>
      </c>
      <c r="L100" s="26"/>
      <c r="M100" s="25"/>
      <c r="N100" s="25"/>
      <c r="O100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00" s="44"/>
    </row>
    <row r="101" spans="5:16" hidden="1" outlineLevel="1" x14ac:dyDescent="0.3">
      <c r="E101" s="27" t="s">
        <v>24</v>
      </c>
      <c r="F101" s="33"/>
      <c r="G101" s="20" t="s">
        <v>3</v>
      </c>
      <c r="H101" s="35" t="str">
        <f>IF(ISBLANK(METLTask2[[#This Row],[CDR''s Weight]]),"",VLOOKUP(METLTask2[[#This Row],[Commander''s Assessment]],Table2[],2,FALSE)*(1-(METLTask2[CDR''s Weight]-1)*(100/MAX(METLTask2[CDR''s Weight])/100)))</f>
        <v/>
      </c>
      <c r="I101" s="28">
        <v>10</v>
      </c>
      <c r="J101" s="24" t="str">
        <f>IF(ISNUMBER(SEARCH("→",METLTask2[[#This Row],[METL Task 2]])),"",IF(G101=$A$5,$B$5*METLTask2[[#This Row],[CDR''s Weight]],IF(G101=$A$6,$B$6*METLTask2[[#This Row],[CDR''s Weight]],IF(G101=$A$7,$B$7*METLTask2[[#This Row],[CDR''s Weight]]))))</f>
        <v/>
      </c>
      <c r="K101" s="25">
        <f>VLOOKUP(METLTask2[[#This Row],[Commander''s Assessment]],Table2[],2,FALSE)*(1-(($I$93:$I$102-1)*(100/MAX($I$93:$I$102)/100)))</f>
        <v>9.999999999999998E-4</v>
      </c>
      <c r="L101" s="26"/>
      <c r="M101" s="25"/>
      <c r="N101" s="25"/>
      <c r="O101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01" s="44"/>
    </row>
    <row r="102" spans="5:16" hidden="1" outlineLevel="1" x14ac:dyDescent="0.3">
      <c r="E102" s="27" t="s">
        <v>24</v>
      </c>
      <c r="F102" s="31"/>
      <c r="G102" s="20" t="s">
        <v>3</v>
      </c>
      <c r="H102" s="35" t="str">
        <f>IF(ISBLANK(METLTask2[[#This Row],[CDR''s Weight]]),"",VLOOKUP(METLTask2[[#This Row],[Commander''s Assessment]],Table2[],2,FALSE)*(1-(METLTask2[CDR''s Weight]-1)*(100/MAX(METLTask2[CDR''s Weight])/100)))</f>
        <v/>
      </c>
      <c r="I102" s="29">
        <v>1</v>
      </c>
      <c r="J102" s="24" t="str">
        <f>IF(ISNUMBER(SEARCH("→",METLTask2[[#This Row],[METL Task 2]])),"",IF(G102=$A$5,$B$5*METLTask2[[#This Row],[CDR''s Weight]],IF(G102=$A$6,$B$6*METLTask2[[#This Row],[CDR''s Weight]],IF(G102=$A$7,$B$7*METLTask2[[#This Row],[CDR''s Weight]]))))</f>
        <v/>
      </c>
      <c r="K102" s="25">
        <f>VLOOKUP(METLTask2[[#This Row],[Commander''s Assessment]],Table2[],2,FALSE)*(1-(($I$93:$I$102-1)*(100/MAX($I$93:$I$102)/100)))</f>
        <v>0.01</v>
      </c>
      <c r="L102" s="26"/>
      <c r="M102" s="21"/>
      <c r="N102" s="21"/>
      <c r="O102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02" s="44"/>
    </row>
    <row r="103" spans="5:16" collapsed="1" x14ac:dyDescent="0.3">
      <c r="E103" s="22" t="s">
        <v>16</v>
      </c>
      <c r="F103" s="20">
        <v>10</v>
      </c>
      <c r="G103" s="20" t="s">
        <v>18</v>
      </c>
      <c r="H103" s="35">
        <f>IF(ISBLANK(METLTask2[[#This Row],[CDR''s Weight]]),"",VLOOKUP(METLTask2[[#This Row],[Commander''s Assessment]],Table2[],2,FALSE)*(1-(METLTask2[CDR''s Weight]-1)*(100/MAX(METLTask2[CDR''s Weight])/100)))</f>
        <v>9.9999999999999978E-2</v>
      </c>
      <c r="I103" s="23"/>
      <c r="J103" s="24">
        <f>IF(ISNUMBER(SEARCH("→",METLTask2[[#This Row],[METL Task 2]])),"",IF(G103=$A$5,$B$5*METLTask2[[#This Row],[CDR''s Weight]],IF(G103=$A$6,$B$6*METLTask2[[#This Row],[CDR''s Weight]],IF(G103=$A$7,$B$7*METLTask2[[#This Row],[CDR''s Weight]]))))</f>
        <v>10</v>
      </c>
      <c r="K103" s="25" t="str">
        <f>IF(ISNUMBER(METLTask2[[#This Row],[Total]]),"",VLOOKUP(METLTask2[[#This Row],[Commander''s Assessment]],Table2[],2,FALSE)*(1-(($I$104:$I$113)*(100/MAX($I$104:$I$113)/100))))</f>
        <v/>
      </c>
      <c r="L103" s="26">
        <f>SUM(I104:I113)</f>
        <v>55</v>
      </c>
      <c r="M103" s="25">
        <f>SUM(K104:K113)*10</f>
        <v>37.61</v>
      </c>
      <c r="N103" s="25">
        <f>METLTask2[[#This Row],[New SB Total]]/METLTask2[[#This Row],[New SB Weight]]</f>
        <v>0.68381818181818177</v>
      </c>
      <c r="O103" s="2" t="str">
        <f>IF(ISBLANK(METLTask2[[#This Row],[calc]]),"",IF(METLTask2[[#This Row],[calc]]&gt;=0.66,$A$5,IF(AND(METLTask2[[#This Row],[calc]]&lt;0.66,METLTask2[[#This Row],[calc]]&gt;=0.33),$A$6,IF(METLTask2[[#This Row],[calc]]&lt;0.33,"U"))))</f>
        <v>T</v>
      </c>
      <c r="P103" s="44"/>
    </row>
    <row r="104" spans="5:16" hidden="1" outlineLevel="1" x14ac:dyDescent="0.3">
      <c r="E104" s="27" t="s">
        <v>33</v>
      </c>
      <c r="F104" s="33"/>
      <c r="G104" s="20" t="s">
        <v>2</v>
      </c>
      <c r="H104" s="35" t="str">
        <f>IF(ISBLANK(METLTask2[[#This Row],[CDR''s Weight]]),"",VLOOKUP(METLTask2[[#This Row],[Commander''s Assessment]],Table2[],2,FALSE)*(1-(METLTask2[CDR''s Weight]-1)*(100/MAX(METLTask2[CDR''s Weight])/100)))</f>
        <v/>
      </c>
      <c r="I104" s="28">
        <v>2</v>
      </c>
      <c r="J104" s="24" t="str">
        <f>IF(ISNUMBER(SEARCH("→",METLTask2[[#This Row],[METL Task 2]])),"",IF(G104=$A$5,$B$5*METLTask2[[#This Row],[CDR''s Weight]],IF(G104=$A$6,$B$6*METLTask2[[#This Row],[CDR''s Weight]],IF(G104=$A$7,$B$7*METLTask2[[#This Row],[CDR''s Weight]]))))</f>
        <v/>
      </c>
      <c r="K104" s="25">
        <f>VLOOKUP(METLTask2[[#This Row],[Commander''s Assessment]],Table2[],2,FALSE)*(1-(($I$104:$I$113-1)*(100/MAX($I$104:$I$113)/100)))</f>
        <v>0.45</v>
      </c>
      <c r="L104" s="26"/>
      <c r="M104" s="25"/>
      <c r="N104" s="25"/>
      <c r="O104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04" s="41"/>
    </row>
    <row r="105" spans="5:16" hidden="1" outlineLevel="1" x14ac:dyDescent="0.3">
      <c r="E105" s="27" t="s">
        <v>24</v>
      </c>
      <c r="F105" s="33"/>
      <c r="G105" s="20" t="s">
        <v>1</v>
      </c>
      <c r="H105" s="35" t="str">
        <f>IF(ISBLANK(METLTask2[[#This Row],[CDR''s Weight]]),"",VLOOKUP(METLTask2[[#This Row],[Commander''s Assessment]],Table2[],2,FALSE)*(1-(METLTask2[CDR''s Weight]-1)*(100/MAX(METLTask2[CDR''s Weight])/100)))</f>
        <v/>
      </c>
      <c r="I105" s="28">
        <v>3</v>
      </c>
      <c r="J105" s="24" t="str">
        <f>IF(ISNUMBER(SEARCH("→",METLTask2[[#This Row],[METL Task 2]])),"",IF(G105=$A$5,$B$5*METLTask2[[#This Row],[CDR''s Weight]],IF(G105=$A$6,$B$6*METLTask2[[#This Row],[CDR''s Weight]],IF(G105=$A$7,$B$7*METLTask2[[#This Row],[CDR''s Weight]]))))</f>
        <v/>
      </c>
      <c r="K105" s="25">
        <f>VLOOKUP(METLTask2[[#This Row],[Commander''s Assessment]],Table2[],2,FALSE)*(1-(($I$104:$I$113-1)*(100/MAX($I$104:$I$113)/100)))</f>
        <v>0.8</v>
      </c>
      <c r="L105" s="26"/>
      <c r="M105" s="25"/>
      <c r="N105" s="25"/>
      <c r="O105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05" s="41"/>
    </row>
    <row r="106" spans="5:16" hidden="1" outlineLevel="1" x14ac:dyDescent="0.3">
      <c r="E106" s="27" t="s">
        <v>24</v>
      </c>
      <c r="F106" s="31"/>
      <c r="G106" s="20" t="s">
        <v>1</v>
      </c>
      <c r="H106" s="35" t="str">
        <f>IF(ISBLANK(METLTask2[[#This Row],[CDR''s Weight]]),"",VLOOKUP(METLTask2[[#This Row],[Commander''s Assessment]],Table2[],2,FALSE)*(1-(METLTask2[CDR''s Weight]-1)*(100/MAX(METLTask2[CDR''s Weight])/100)))</f>
        <v/>
      </c>
      <c r="I106" s="28">
        <v>4</v>
      </c>
      <c r="J106" s="24" t="str">
        <f>IF(ISNUMBER(SEARCH("→",METLTask2[[#This Row],[METL Task 2]])),"",IF(G106=$A$5,$B$5*METLTask2[[#This Row],[CDR''s Weight]],IF(G106=$A$6,$B$6*METLTask2[[#This Row],[CDR''s Weight]],IF(G106=$A$7,$B$7*METLTask2[[#This Row],[CDR''s Weight]]))))</f>
        <v/>
      </c>
      <c r="K106" s="25">
        <f>VLOOKUP(METLTask2[[#This Row],[Commander''s Assessment]],Table2[],2,FALSE)*(1-(($I$104:$I$113-1)*(100/MAX($I$104:$I$113)/100)))</f>
        <v>0.7</v>
      </c>
      <c r="L106" s="26"/>
      <c r="M106" s="25"/>
      <c r="N106" s="25"/>
      <c r="O106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06" s="41"/>
    </row>
    <row r="107" spans="5:16" hidden="1" outlineLevel="1" x14ac:dyDescent="0.3">
      <c r="E107" s="27" t="s">
        <v>24</v>
      </c>
      <c r="F107" s="33"/>
      <c r="G107" s="20" t="s">
        <v>1</v>
      </c>
      <c r="H107" s="35" t="str">
        <f>IF(ISBLANK(METLTask2[[#This Row],[CDR''s Weight]]),"",VLOOKUP(METLTask2[[#This Row],[Commander''s Assessment]],Table2[],2,FALSE)*(1-(METLTask2[CDR''s Weight]-1)*(100/MAX(METLTask2[CDR''s Weight])/100)))</f>
        <v/>
      </c>
      <c r="I107" s="28">
        <v>5</v>
      </c>
      <c r="J107" s="24" t="str">
        <f>IF(ISNUMBER(SEARCH("→",METLTask2[[#This Row],[METL Task 2]])),"",IF(G107=$A$5,$B$5*METLTask2[[#This Row],[CDR''s Weight]],IF(G107=$A$6,$B$6*METLTask2[[#This Row],[CDR''s Weight]],IF(G107=$A$7,$B$7*METLTask2[[#This Row],[CDR''s Weight]]))))</f>
        <v/>
      </c>
      <c r="K107" s="25">
        <f>VLOOKUP(METLTask2[[#This Row],[Commander''s Assessment]],Table2[],2,FALSE)*(1-(($I$104:$I$113-1)*(100/MAX($I$104:$I$113)/100)))</f>
        <v>0.6</v>
      </c>
      <c r="L107" s="26"/>
      <c r="M107" s="25"/>
      <c r="N107" s="25"/>
      <c r="O107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07" s="41"/>
    </row>
    <row r="108" spans="5:16" hidden="1" outlineLevel="1" x14ac:dyDescent="0.3">
      <c r="E108" s="27" t="s">
        <v>24</v>
      </c>
      <c r="F108" s="33"/>
      <c r="G108" s="20" t="s">
        <v>1</v>
      </c>
      <c r="H108" s="35" t="str">
        <f>IF(ISBLANK(METLTask2[[#This Row],[CDR''s Weight]]),"",VLOOKUP(METLTask2[[#This Row],[Commander''s Assessment]],Table2[],2,FALSE)*(1-(METLTask2[CDR''s Weight]-1)*(100/MAX(METLTask2[CDR''s Weight])/100)))</f>
        <v/>
      </c>
      <c r="I108" s="28">
        <v>6</v>
      </c>
      <c r="J108" s="24" t="str">
        <f>IF(ISNUMBER(SEARCH("→",METLTask2[[#This Row],[METL Task 2]])),"",IF(G108=$A$5,$B$5*METLTask2[[#This Row],[CDR''s Weight]],IF(G108=$A$6,$B$6*METLTask2[[#This Row],[CDR''s Weight]],IF(G108=$A$7,$B$7*METLTask2[[#This Row],[CDR''s Weight]]))))</f>
        <v/>
      </c>
      <c r="K108" s="25">
        <f>VLOOKUP(METLTask2[[#This Row],[Commander''s Assessment]],Table2[],2,FALSE)*(1-(($I$104:$I$113-1)*(100/MAX($I$104:$I$113)/100)))</f>
        <v>0.5</v>
      </c>
      <c r="L108" s="26"/>
      <c r="M108" s="25"/>
      <c r="N108" s="25"/>
      <c r="O108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08" s="41"/>
    </row>
    <row r="109" spans="5:16" hidden="1" outlineLevel="1" x14ac:dyDescent="0.3">
      <c r="E109" s="27" t="s">
        <v>24</v>
      </c>
      <c r="F109" s="33"/>
      <c r="G109" s="20" t="s">
        <v>2</v>
      </c>
      <c r="H109" s="35" t="str">
        <f>IF(ISBLANK(METLTask2[[#This Row],[CDR''s Weight]]),"",VLOOKUP(METLTask2[[#This Row],[Commander''s Assessment]],Table2[],2,FALSE)*(1-(METLTask2[CDR''s Weight]-1)*(100/MAX(METLTask2[CDR''s Weight])/100)))</f>
        <v/>
      </c>
      <c r="I109" s="28">
        <v>7</v>
      </c>
      <c r="J109" s="24" t="str">
        <f>IF(ISNUMBER(SEARCH("→",METLTask2[[#This Row],[METL Task 2]])),"",IF(G109=$A$5,$B$5*METLTask2[[#This Row],[CDR''s Weight]],IF(G109=$A$6,$B$6*METLTask2[[#This Row],[CDR''s Weight]],IF(G109=$A$7,$B$7*METLTask2[[#This Row],[CDR''s Weight]]))))</f>
        <v/>
      </c>
      <c r="K109" s="25">
        <f>VLOOKUP(METLTask2[[#This Row],[Commander''s Assessment]],Table2[],2,FALSE)*(1-(($I$104:$I$113-1)*(100/MAX($I$104:$I$113)/100)))</f>
        <v>0.19999999999999996</v>
      </c>
      <c r="L109" s="26"/>
      <c r="M109" s="25"/>
      <c r="N109" s="25"/>
      <c r="O109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09" s="41"/>
    </row>
    <row r="110" spans="5:16" hidden="1" outlineLevel="1" x14ac:dyDescent="0.3">
      <c r="E110" s="27" t="s">
        <v>24</v>
      </c>
      <c r="F110" s="33"/>
      <c r="G110" s="20" t="s">
        <v>1</v>
      </c>
      <c r="H110" s="35" t="str">
        <f>IF(ISBLANK(METLTask2[[#This Row],[CDR''s Weight]]),"",VLOOKUP(METLTask2[[#This Row],[Commander''s Assessment]],Table2[],2,FALSE)*(1-(METLTask2[CDR''s Weight]-1)*(100/MAX(METLTask2[CDR''s Weight])/100)))</f>
        <v/>
      </c>
      <c r="I110" s="28">
        <v>8</v>
      </c>
      <c r="J110" s="24" t="str">
        <f>IF(ISNUMBER(SEARCH("→",METLTask2[[#This Row],[METL Task 2]])),"",IF(G110=$A$5,$B$5*METLTask2[[#This Row],[CDR''s Weight]],IF(G110=$A$6,$B$6*METLTask2[[#This Row],[CDR''s Weight]],IF(G110=$A$7,$B$7*METLTask2[[#This Row],[CDR''s Weight]]))))</f>
        <v/>
      </c>
      <c r="K110" s="25">
        <f>VLOOKUP(METLTask2[[#This Row],[Commander''s Assessment]],Table2[],2,FALSE)*(1-(($I$104:$I$113-1)*(100/MAX($I$104:$I$113)/100)))</f>
        <v>0.29999999999999993</v>
      </c>
      <c r="L110" s="26"/>
      <c r="M110" s="25"/>
      <c r="N110" s="25"/>
      <c r="O110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10" s="41"/>
    </row>
    <row r="111" spans="5:16" hidden="1" outlineLevel="1" x14ac:dyDescent="0.3">
      <c r="E111" s="27" t="s">
        <v>24</v>
      </c>
      <c r="F111" s="33"/>
      <c r="G111" s="20" t="s">
        <v>1</v>
      </c>
      <c r="H111" s="35" t="str">
        <f>IF(ISBLANK(METLTask2[[#This Row],[CDR''s Weight]]),"",VLOOKUP(METLTask2[[#This Row],[Commander''s Assessment]],Table2[],2,FALSE)*(1-(METLTask2[CDR''s Weight]-1)*(100/MAX(METLTask2[CDR''s Weight])/100)))</f>
        <v/>
      </c>
      <c r="I111" s="28">
        <v>9</v>
      </c>
      <c r="J111" s="24" t="str">
        <f>IF(ISNUMBER(SEARCH("→",METLTask2[[#This Row],[METL Task 2]])),"",IF(G111=$A$5,$B$5*METLTask2[[#This Row],[CDR''s Weight]],IF(G111=$A$6,$B$6*METLTask2[[#This Row],[CDR''s Weight]],IF(G111=$A$7,$B$7*METLTask2[[#This Row],[CDR''s Weight]]))))</f>
        <v/>
      </c>
      <c r="K111" s="25">
        <f>VLOOKUP(METLTask2[[#This Row],[Commander''s Assessment]],Table2[],2,FALSE)*(1-(($I$104:$I$113-1)*(100/MAX($I$104:$I$113)/100)))</f>
        <v>0.19999999999999996</v>
      </c>
      <c r="L111" s="26"/>
      <c r="M111" s="25"/>
      <c r="N111" s="25"/>
      <c r="O111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11" s="41"/>
    </row>
    <row r="112" spans="5:16" hidden="1" outlineLevel="1" x14ac:dyDescent="0.3">
      <c r="E112" s="27" t="s">
        <v>24</v>
      </c>
      <c r="F112" s="33"/>
      <c r="G112" s="20" t="s">
        <v>3</v>
      </c>
      <c r="H112" s="35" t="str">
        <f>IF(ISBLANK(METLTask2[[#This Row],[CDR''s Weight]]),"",VLOOKUP(METLTask2[[#This Row],[Commander''s Assessment]],Table2[],2,FALSE)*(1-(METLTask2[CDR''s Weight]-1)*(100/MAX(METLTask2[CDR''s Weight])/100)))</f>
        <v/>
      </c>
      <c r="I112" s="28">
        <v>10</v>
      </c>
      <c r="J112" s="24" t="str">
        <f>IF(ISNUMBER(SEARCH("→",METLTask2[[#This Row],[METL Task 2]])),"",IF(G112=$A$5,$B$5*METLTask2[[#This Row],[CDR''s Weight]],IF(G112=$A$6,$B$6*METLTask2[[#This Row],[CDR''s Weight]],IF(G112=$A$7,$B$7*METLTask2[[#This Row],[CDR''s Weight]]))))</f>
        <v/>
      </c>
      <c r="K112" s="25">
        <f>VLOOKUP(METLTask2[[#This Row],[Commander''s Assessment]],Table2[],2,FALSE)*(1-(($I$104:$I$113-1)*(100/MAX($I$104:$I$113)/100)))</f>
        <v>9.999999999999998E-4</v>
      </c>
      <c r="L112" s="26"/>
      <c r="M112" s="25"/>
      <c r="N112" s="25"/>
      <c r="O112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12" s="41"/>
    </row>
    <row r="113" spans="5:16" hidden="1" outlineLevel="1" x14ac:dyDescent="0.3">
      <c r="E113" s="27" t="s">
        <v>24</v>
      </c>
      <c r="F113" s="31"/>
      <c r="G113" s="20" t="s">
        <v>3</v>
      </c>
      <c r="H113" s="35" t="str">
        <f>IF(ISBLANK(METLTask2[[#This Row],[CDR''s Weight]]),"",VLOOKUP(METLTask2[[#This Row],[Commander''s Assessment]],Table2[],2,FALSE)*(1-(METLTask2[CDR''s Weight]-1)*(100/MAX(METLTask2[CDR''s Weight])/100)))</f>
        <v/>
      </c>
      <c r="I113" s="29">
        <v>1</v>
      </c>
      <c r="J113" s="24" t="str">
        <f>IF(ISNUMBER(SEARCH("→",METLTask2[[#This Row],[METL Task 2]])),"",IF(G113=$A$5,$B$5*METLTask2[[#This Row],[CDR''s Weight]],IF(G113=$A$6,$B$6*METLTask2[[#This Row],[CDR''s Weight]],IF(G113=$A$7,$B$7*METLTask2[[#This Row],[CDR''s Weight]]))))</f>
        <v/>
      </c>
      <c r="K113" s="25">
        <f>VLOOKUP(METLTask2[[#This Row],[Commander''s Assessment]],Table2[],2,FALSE)*(1-(($I$104:$I$113-1)*(100/MAX($I$104:$I$113)/100)))</f>
        <v>0.01</v>
      </c>
      <c r="L113" s="26"/>
      <c r="M113" s="21"/>
      <c r="N113" s="21"/>
      <c r="O113" s="18" t="str">
        <f>IF(ISBLANK(METLTask2[[#This Row],[calc]]),"",IF(METLTask2[[#This Row],[calc]]&gt;=0.66,$A$5,IF(AND(METLTask2[[#This Row],[calc]]&lt;0.66,METLTask2[[#This Row],[calc]]&gt;=0.33),$A$6,IF(METLTask2[[#This Row],[calc]]&lt;0.33,"U"))))</f>
        <v/>
      </c>
      <c r="P113" s="41"/>
    </row>
    <row r="114" spans="5:16" collapsed="1" x14ac:dyDescent="0.3">
      <c r="E114" s="3" t="s">
        <v>5</v>
      </c>
      <c r="F114" s="4">
        <f>SUBTOTAL(109,METLTask2[CDR''s Weight])</f>
        <v>55</v>
      </c>
      <c r="G114" s="4"/>
      <c r="H114" s="36"/>
      <c r="I114" s="5"/>
      <c r="J114" s="5">
        <f>SUBTOTAL(109,METLTask2[Total])</f>
        <v>44.59</v>
      </c>
      <c r="K114" s="6">
        <f>METLTask2[[#Totals],[Total]]/METLTask2[[#Totals],[CDR''s Weight]]</f>
        <v>0.81072727272727274</v>
      </c>
      <c r="L114" s="3"/>
      <c r="M114" s="3"/>
      <c r="N114" s="3"/>
      <c r="O114" s="3"/>
      <c r="P114" s="40"/>
    </row>
  </sheetData>
  <conditionalFormatting sqref="O15 D3 G4:H15 O4">
    <cfRule type="cellIs" dxfId="308" priority="52" operator="equal">
      <formula>"u"</formula>
    </cfRule>
    <cfRule type="cellIs" dxfId="307" priority="53" operator="equal">
      <formula>"T"</formula>
    </cfRule>
    <cfRule type="cellIs" dxfId="306" priority="54" operator="equal">
      <formula>"P"</formula>
    </cfRule>
  </conditionalFormatting>
  <conditionalFormatting sqref="G16:H25">
    <cfRule type="cellIs" dxfId="305" priority="49" operator="equal">
      <formula>"u"</formula>
    </cfRule>
    <cfRule type="cellIs" dxfId="304" priority="50" operator="equal">
      <formula>"T"</formula>
    </cfRule>
    <cfRule type="cellIs" dxfId="303" priority="51" operator="equal">
      <formula>"P"</formula>
    </cfRule>
  </conditionalFormatting>
  <conditionalFormatting sqref="O26 G26:H26">
    <cfRule type="cellIs" dxfId="302" priority="46" operator="equal">
      <formula>"u"</formula>
    </cfRule>
    <cfRule type="cellIs" dxfId="301" priority="47" operator="equal">
      <formula>"T"</formula>
    </cfRule>
    <cfRule type="cellIs" dxfId="300" priority="48" operator="equal">
      <formula>"P"</formula>
    </cfRule>
  </conditionalFormatting>
  <conditionalFormatting sqref="G27:H36">
    <cfRule type="cellIs" dxfId="299" priority="43" operator="equal">
      <formula>"u"</formula>
    </cfRule>
    <cfRule type="cellIs" dxfId="298" priority="44" operator="equal">
      <formula>"T"</formula>
    </cfRule>
    <cfRule type="cellIs" dxfId="297" priority="45" operator="equal">
      <formula>"P"</formula>
    </cfRule>
  </conditionalFormatting>
  <conditionalFormatting sqref="O37 G37:H37">
    <cfRule type="cellIs" dxfId="296" priority="40" operator="equal">
      <formula>"u"</formula>
    </cfRule>
    <cfRule type="cellIs" dxfId="295" priority="41" operator="equal">
      <formula>"T"</formula>
    </cfRule>
    <cfRule type="cellIs" dxfId="294" priority="42" operator="equal">
      <formula>"P"</formula>
    </cfRule>
  </conditionalFormatting>
  <conditionalFormatting sqref="G38:H47">
    <cfRule type="cellIs" dxfId="293" priority="37" operator="equal">
      <formula>"u"</formula>
    </cfRule>
    <cfRule type="cellIs" dxfId="292" priority="38" operator="equal">
      <formula>"T"</formula>
    </cfRule>
    <cfRule type="cellIs" dxfId="291" priority="39" operator="equal">
      <formula>"P"</formula>
    </cfRule>
  </conditionalFormatting>
  <conditionalFormatting sqref="O48 G48:H48">
    <cfRule type="cellIs" dxfId="290" priority="34" operator="equal">
      <formula>"u"</formula>
    </cfRule>
    <cfRule type="cellIs" dxfId="289" priority="35" operator="equal">
      <formula>"T"</formula>
    </cfRule>
    <cfRule type="cellIs" dxfId="288" priority="36" operator="equal">
      <formula>"P"</formula>
    </cfRule>
  </conditionalFormatting>
  <conditionalFormatting sqref="G49:H58">
    <cfRule type="cellIs" dxfId="287" priority="31" operator="equal">
      <formula>"u"</formula>
    </cfRule>
    <cfRule type="cellIs" dxfId="286" priority="32" operator="equal">
      <formula>"T"</formula>
    </cfRule>
    <cfRule type="cellIs" dxfId="285" priority="33" operator="equal">
      <formula>"P"</formula>
    </cfRule>
  </conditionalFormatting>
  <conditionalFormatting sqref="O59 G59:H59">
    <cfRule type="cellIs" dxfId="284" priority="28" operator="equal">
      <formula>"u"</formula>
    </cfRule>
    <cfRule type="cellIs" dxfId="283" priority="29" operator="equal">
      <formula>"T"</formula>
    </cfRule>
    <cfRule type="cellIs" dxfId="282" priority="30" operator="equal">
      <formula>"P"</formula>
    </cfRule>
  </conditionalFormatting>
  <conditionalFormatting sqref="G60:H69">
    <cfRule type="cellIs" dxfId="281" priority="25" operator="equal">
      <formula>"u"</formula>
    </cfRule>
    <cfRule type="cellIs" dxfId="280" priority="26" operator="equal">
      <formula>"T"</formula>
    </cfRule>
    <cfRule type="cellIs" dxfId="279" priority="27" operator="equal">
      <formula>"P"</formula>
    </cfRule>
  </conditionalFormatting>
  <conditionalFormatting sqref="O70 G70:H70">
    <cfRule type="cellIs" dxfId="278" priority="22" operator="equal">
      <formula>"u"</formula>
    </cfRule>
    <cfRule type="cellIs" dxfId="277" priority="23" operator="equal">
      <formula>"T"</formula>
    </cfRule>
    <cfRule type="cellIs" dxfId="276" priority="24" operator="equal">
      <formula>"P"</formula>
    </cfRule>
  </conditionalFormatting>
  <conditionalFormatting sqref="G71:H80">
    <cfRule type="cellIs" dxfId="275" priority="19" operator="equal">
      <formula>"u"</formula>
    </cfRule>
    <cfRule type="cellIs" dxfId="274" priority="20" operator="equal">
      <formula>"T"</formula>
    </cfRule>
    <cfRule type="cellIs" dxfId="273" priority="21" operator="equal">
      <formula>"P"</formula>
    </cfRule>
  </conditionalFormatting>
  <conditionalFormatting sqref="O81 G81:H81">
    <cfRule type="cellIs" dxfId="272" priority="16" operator="equal">
      <formula>"u"</formula>
    </cfRule>
    <cfRule type="cellIs" dxfId="271" priority="17" operator="equal">
      <formula>"T"</formula>
    </cfRule>
    <cfRule type="cellIs" dxfId="270" priority="18" operator="equal">
      <formula>"P"</formula>
    </cfRule>
  </conditionalFormatting>
  <conditionalFormatting sqref="G82:H91">
    <cfRule type="cellIs" dxfId="269" priority="13" operator="equal">
      <formula>"u"</formula>
    </cfRule>
    <cfRule type="cellIs" dxfId="268" priority="14" operator="equal">
      <formula>"T"</formula>
    </cfRule>
    <cfRule type="cellIs" dxfId="267" priority="15" operator="equal">
      <formula>"P"</formula>
    </cfRule>
  </conditionalFormatting>
  <conditionalFormatting sqref="O92 G92:H92">
    <cfRule type="cellIs" dxfId="266" priority="10" operator="equal">
      <formula>"u"</formula>
    </cfRule>
    <cfRule type="cellIs" dxfId="265" priority="11" operator="equal">
      <formula>"T"</formula>
    </cfRule>
    <cfRule type="cellIs" dxfId="264" priority="12" operator="equal">
      <formula>"P"</formula>
    </cfRule>
  </conditionalFormatting>
  <conditionalFormatting sqref="G93:H102">
    <cfRule type="cellIs" dxfId="263" priority="7" operator="equal">
      <formula>"u"</formula>
    </cfRule>
    <cfRule type="cellIs" dxfId="262" priority="8" operator="equal">
      <formula>"T"</formula>
    </cfRule>
    <cfRule type="cellIs" dxfId="261" priority="9" operator="equal">
      <formula>"P"</formula>
    </cfRule>
  </conditionalFormatting>
  <conditionalFormatting sqref="O103 G103:H103">
    <cfRule type="cellIs" dxfId="260" priority="4" operator="equal">
      <formula>"u"</formula>
    </cfRule>
    <cfRule type="cellIs" dxfId="259" priority="5" operator="equal">
      <formula>"T"</formula>
    </cfRule>
    <cfRule type="cellIs" dxfId="258" priority="6" operator="equal">
      <formula>"P"</formula>
    </cfRule>
  </conditionalFormatting>
  <conditionalFormatting sqref="G104:H113">
    <cfRule type="cellIs" dxfId="257" priority="1" operator="equal">
      <formula>"u"</formula>
    </cfRule>
    <cfRule type="cellIs" dxfId="256" priority="2" operator="equal">
      <formula>"T"</formula>
    </cfRule>
    <cfRule type="cellIs" dxfId="255" priority="3" operator="equal">
      <formula>"P"</formula>
    </cfRule>
  </conditionalFormatting>
  <dataValidations count="1">
    <dataValidation type="list" allowBlank="1" showInputMessage="1" showErrorMessage="1" sqref="G4:G113">
      <formula1>$A$5:$A$7</formula1>
    </dataValidation>
  </dataValidations>
  <pageMargins left="0.7" right="0.7" top="0.75" bottom="0.75" header="0.3" footer="0.3"/>
  <pageSetup scale="7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topLeftCell="C1" zoomScaleNormal="100" workbookViewId="0">
      <pane xSplit="12" ySplit="3" topLeftCell="O4" activePane="bottomRight" state="frozen"/>
      <selection activeCell="C1" sqref="C1"/>
      <selection pane="topRight" activeCell="O1" sqref="O1"/>
      <selection pane="bottomLeft" activeCell="C4" sqref="C4"/>
      <selection pane="bottomRight" activeCell="P3" sqref="P3:P103"/>
    </sheetView>
  </sheetViews>
  <sheetFormatPr defaultRowHeight="14.4" outlineLevelRow="1" x14ac:dyDescent="0.3"/>
  <cols>
    <col min="1" max="2" width="9.88671875" hidden="1" customWidth="1"/>
    <col min="3" max="3" width="4.21875" customWidth="1"/>
    <col min="4" max="4" width="7.5546875" customWidth="1"/>
    <col min="5" max="5" width="26.88671875" customWidth="1"/>
    <col min="6" max="6" width="17.77734375" bestFit="1" customWidth="1"/>
    <col min="7" max="7" width="15.44140625" bestFit="1" customWidth="1"/>
    <col min="8" max="8" width="15.44140625" style="16" hidden="1" customWidth="1"/>
    <col min="9" max="9" width="20.21875" bestFit="1" customWidth="1"/>
    <col min="10" max="10" width="10" hidden="1" customWidth="1"/>
    <col min="11" max="11" width="16.77734375" hidden="1" customWidth="1"/>
    <col min="12" max="12" width="17.109375" hidden="1" customWidth="1"/>
    <col min="13" max="13" width="14.88671875" hidden="1" customWidth="1"/>
    <col min="14" max="14" width="6.5546875" hidden="1" customWidth="1"/>
    <col min="15" max="15" width="26.44140625" bestFit="1" customWidth="1"/>
    <col min="16" max="16" width="25.5546875" style="9" customWidth="1"/>
    <col min="17" max="17" width="10.109375" style="9" bestFit="1" customWidth="1"/>
    <col min="18" max="18" width="13.88671875" style="9" customWidth="1"/>
    <col min="19" max="21" width="9.109375" style="9"/>
  </cols>
  <sheetData>
    <row r="1" spans="1:16" ht="22.5" customHeight="1" x14ac:dyDescent="0.3">
      <c r="C1" s="8"/>
      <c r="D1" s="9"/>
      <c r="E1" s="9"/>
      <c r="F1" s="9"/>
      <c r="G1" s="9"/>
      <c r="H1" s="15"/>
      <c r="I1" s="9"/>
      <c r="J1" s="9"/>
      <c r="K1" s="9"/>
      <c r="L1" s="9"/>
      <c r="M1" s="9"/>
      <c r="N1" s="9"/>
      <c r="O1" s="9"/>
    </row>
    <row r="2" spans="1:16" ht="12.75" customHeight="1" x14ac:dyDescent="0.3">
      <c r="C2" s="8"/>
      <c r="D2" t="s">
        <v>12</v>
      </c>
      <c r="E2" s="9"/>
      <c r="F2" s="9"/>
      <c r="G2" s="9"/>
      <c r="H2" s="15"/>
      <c r="I2" s="9"/>
      <c r="J2" s="9"/>
      <c r="K2" s="9"/>
      <c r="L2" s="9"/>
      <c r="M2" s="9"/>
      <c r="N2" s="9"/>
      <c r="O2" s="9"/>
    </row>
    <row r="3" spans="1:16" ht="31.5" customHeight="1" thickBot="1" x14ac:dyDescent="0.35">
      <c r="B3" t="s">
        <v>6</v>
      </c>
      <c r="C3" s="8"/>
      <c r="D3" s="7" t="str">
        <f>IF((SUM(METLTask3[Column1])*10)/(SUM(METLTask3[CDR''s Weight]))&gt;=0.66,$A$5,IF(AND((SUM(METLTask3[Column1])*10)/(SUM(METLTask3[CDR''s Weight]))&lt;0.66,(SUM(METLTask3[Column1])*10)/(SUM(METLTask3[CDR''s Weight]))&gt;=0.33),$A$6,$A$7))</f>
        <v>T</v>
      </c>
      <c r="E3" s="19" t="s">
        <v>36</v>
      </c>
      <c r="F3" s="20" t="s">
        <v>0</v>
      </c>
      <c r="G3" s="20" t="s">
        <v>25</v>
      </c>
      <c r="H3" s="35" t="s">
        <v>19</v>
      </c>
      <c r="I3" s="20" t="s">
        <v>17</v>
      </c>
      <c r="J3" s="20" t="s">
        <v>4</v>
      </c>
      <c r="K3" s="21" t="s">
        <v>7</v>
      </c>
      <c r="L3" s="21" t="s">
        <v>8</v>
      </c>
      <c r="M3" s="21" t="s">
        <v>9</v>
      </c>
      <c r="N3" s="21" t="s">
        <v>10</v>
      </c>
      <c r="O3" s="1" t="s">
        <v>11</v>
      </c>
      <c r="P3" s="42" t="s">
        <v>43</v>
      </c>
    </row>
    <row r="4" spans="1:16" ht="15.45" customHeight="1" thickBot="1" x14ac:dyDescent="0.35">
      <c r="A4" t="s">
        <v>19</v>
      </c>
      <c r="B4" t="s">
        <v>20</v>
      </c>
      <c r="C4" s="8"/>
      <c r="D4" s="37">
        <f>(SUM(METLTask3[Column1])*10)/(SUM(METLTask3[CDR''s Weight]))</f>
        <v>0.87272727272727246</v>
      </c>
      <c r="E4" s="22" t="s">
        <v>34</v>
      </c>
      <c r="F4" s="20">
        <v>1</v>
      </c>
      <c r="G4" s="34" t="s">
        <v>1</v>
      </c>
      <c r="H4" s="35">
        <f>IF(ISBLANK(METLTask3[[#This Row],[CDR''s Weight]]),"",VLOOKUP(METLTask3[[#This Row],[Commander''s Assessment]],Table218[],2,FALSE)*(1-(METLTask3[CDR''s Weight]-1)*(100/MAX(METLTask3[CDR''s Weight])/100)))</f>
        <v>1</v>
      </c>
      <c r="I4" s="23"/>
      <c r="J4" s="24">
        <f>IF(ISNUMBER(SEARCH("→",METLTask3[[#This Row],[METL Task 3]])),"",IF(G4=$A$5,$B$5*METLTask3[[#This Row],[CDR''s Weight]],IF(G4=$A$6,$B$6*METLTask3[[#This Row],[CDR''s Weight]],IF(G4=$A$7,$B$7*METLTask3[[#This Row],[CDR''s Weight]]))))</f>
        <v>1</v>
      </c>
      <c r="K4" s="25" t="str">
        <f>IF(ISNUMBER(METLTask3[[#This Row],[Total]]),"",VLOOKUP(METLTask3[[#This Row],[Commander''s Assessment]],Table218[],2,FALSE)*(1-(($I$5:$I$14-1)*(100/MAX($I$5:$I$14)/100))))</f>
        <v/>
      </c>
      <c r="L4" s="26">
        <f>SUM(I5:I14)</f>
        <v>55</v>
      </c>
      <c r="M4" s="25">
        <f>SUM(K5:K14)*10</f>
        <v>37.61</v>
      </c>
      <c r="N4" s="25">
        <f>(SUM(K5:K14)*10)/(SUM(I5:I14))</f>
        <v>0.68381818181818177</v>
      </c>
      <c r="O4" s="2" t="str">
        <f>IF(ISBLANK(METLTask3[[#This Row],[calc]]),"",IF(METLTask3[[#This Row],[calc]]&gt;=0.66,$A$5,IF(AND(METLTask3[[#This Row],[calc]]&lt;0.66,METLTask3[[#This Row],[calc]]&gt;=0.33),$A$6,IF(METLTask3[[#This Row],[calc]]&lt;0.33,"U"))))</f>
        <v>T</v>
      </c>
      <c r="P4" s="43"/>
    </row>
    <row r="5" spans="1:16" hidden="1" outlineLevel="1" x14ac:dyDescent="0.3">
      <c r="A5" t="s">
        <v>1</v>
      </c>
      <c r="B5" s="14">
        <v>1</v>
      </c>
      <c r="C5" s="8"/>
      <c r="D5" s="9"/>
      <c r="E5" s="27" t="s">
        <v>33</v>
      </c>
      <c r="F5" s="32"/>
      <c r="G5" s="20" t="s">
        <v>2</v>
      </c>
      <c r="H5" s="35" t="str">
        <f>IF(ISBLANK(METLTask3[[#This Row],[CDR''s Weight]]),"",VLOOKUP(METLTask3[[#This Row],[Commander''s Assessment]],Table218[],2,FALSE)*(1-(METLTask3[CDR''s Weight]-1)*(100/MAX(METLTask3[CDR''s Weight])/100)))</f>
        <v/>
      </c>
      <c r="I5" s="28">
        <v>2</v>
      </c>
      <c r="J5" s="24" t="str">
        <f>IF(ISNUMBER(SEARCH("→",METLTask3[[#This Row],[METL Task 3]])),"",IF(G5=$A$5,$B$5*METLTask3[[#This Row],[CDR''s Weight]],IF(G5=$A$6,$B$6*METLTask3[[#This Row],[CDR''s Weight]],IF(G5=$A$7,$B$7*METLTask3[[#This Row],[CDR''s Weight]]))))</f>
        <v/>
      </c>
      <c r="K5" s="25">
        <f>VLOOKUP(METLTask3[[#This Row],[Commander''s Assessment]],Table218[],2,FALSE)*(1-(($I$5:$I$14-1)*(100/MAX($I$5:$I$14)/100)))</f>
        <v>0.45</v>
      </c>
      <c r="L5" s="26"/>
      <c r="M5" s="25"/>
      <c r="N5" s="25"/>
      <c r="O5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5" s="43"/>
    </row>
    <row r="6" spans="1:16" ht="16.649999999999999" hidden="1" customHeight="1" outlineLevel="1" x14ac:dyDescent="0.3">
      <c r="A6" t="s">
        <v>2</v>
      </c>
      <c r="B6" s="14">
        <v>0.5</v>
      </c>
      <c r="C6" s="8"/>
      <c r="D6" s="9"/>
      <c r="E6" s="27" t="s">
        <v>24</v>
      </c>
      <c r="F6" s="32"/>
      <c r="G6" s="20" t="s">
        <v>1</v>
      </c>
      <c r="H6" s="35" t="str">
        <f>IF(ISBLANK(METLTask3[[#This Row],[CDR''s Weight]]),"",VLOOKUP(METLTask3[[#This Row],[Commander''s Assessment]],Table218[],2,FALSE)*(1-(METLTask3[CDR''s Weight]-1)*(100/MAX(METLTask3[CDR''s Weight])/100)))</f>
        <v/>
      </c>
      <c r="I6" s="28">
        <v>3</v>
      </c>
      <c r="J6" s="24" t="str">
        <f>IF(ISNUMBER(SEARCH("→",METLTask3[[#This Row],[METL Task 3]])),"",IF(G6=$A$5,$B$5*METLTask3[[#This Row],[CDR''s Weight]],IF(G6=$A$6,$B$6*METLTask3[[#This Row],[CDR''s Weight]],IF(G6=$A$7,$B$7*METLTask3[[#This Row],[CDR''s Weight]]))))</f>
        <v/>
      </c>
      <c r="K6" s="25">
        <f>VLOOKUP(METLTask3[[#This Row],[Commander''s Assessment]],Table218[],2,FALSE)*(1-(($I$5:$I$14-1)*(100/MAX($I$5:$I$14)/100)))</f>
        <v>0.8</v>
      </c>
      <c r="L6" s="26"/>
      <c r="M6" s="25"/>
      <c r="N6" s="25"/>
      <c r="O6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6" s="43"/>
    </row>
    <row r="7" spans="1:16" hidden="1" outlineLevel="1" x14ac:dyDescent="0.3">
      <c r="A7" t="s">
        <v>3</v>
      </c>
      <c r="B7" s="14">
        <v>0.01</v>
      </c>
      <c r="C7" s="8"/>
      <c r="D7" s="9"/>
      <c r="E7" s="27" t="s">
        <v>24</v>
      </c>
      <c r="F7" s="32"/>
      <c r="G7" s="20" t="s">
        <v>1</v>
      </c>
      <c r="H7" s="35" t="str">
        <f>IF(ISBLANK(METLTask3[[#This Row],[CDR''s Weight]]),"",VLOOKUP(METLTask3[[#This Row],[Commander''s Assessment]],Table218[],2,FALSE)*(1-(METLTask3[CDR''s Weight]-1)*(100/MAX(METLTask3[CDR''s Weight])/100)))</f>
        <v/>
      </c>
      <c r="I7" s="28">
        <v>4</v>
      </c>
      <c r="J7" s="24" t="str">
        <f>IF(ISNUMBER(SEARCH("→",METLTask3[[#This Row],[METL Task 3]])),"",IF(G7=$A$5,$B$5*METLTask3[[#This Row],[CDR''s Weight]],IF(G7=$A$6,$B$6*METLTask3[[#This Row],[CDR''s Weight]],IF(G7=$A$7,$B$7*METLTask3[[#This Row],[CDR''s Weight]]))))</f>
        <v/>
      </c>
      <c r="K7" s="25">
        <f>VLOOKUP(METLTask3[[#This Row],[Commander''s Assessment]],Table218[],2,FALSE)*(1-(($I$5:$I$14-1)*(100/MAX($I$5:$I$14)/100)))</f>
        <v>0.7</v>
      </c>
      <c r="L7" s="26"/>
      <c r="M7" s="25"/>
      <c r="N7" s="25"/>
      <c r="O7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7" s="43"/>
    </row>
    <row r="8" spans="1:16" hidden="1" outlineLevel="1" x14ac:dyDescent="0.3">
      <c r="C8" s="8"/>
      <c r="D8" s="9"/>
      <c r="E8" s="27" t="s">
        <v>24</v>
      </c>
      <c r="F8" s="33"/>
      <c r="G8" s="20" t="s">
        <v>1</v>
      </c>
      <c r="H8" s="35" t="str">
        <f>IF(ISBLANK(METLTask3[[#This Row],[CDR''s Weight]]),"",VLOOKUP(METLTask3[[#This Row],[Commander''s Assessment]],Table218[],2,FALSE)*(1-(METLTask3[CDR''s Weight]-1)*(100/MAX(METLTask3[CDR''s Weight])/100)))</f>
        <v/>
      </c>
      <c r="I8" s="28">
        <v>5</v>
      </c>
      <c r="J8" s="24" t="str">
        <f>IF(ISNUMBER(SEARCH("→",METLTask3[[#This Row],[METL Task 3]])),"",IF(G8=$A$5,$B$5*METLTask3[[#This Row],[CDR''s Weight]],IF(G8=$A$6,$B$6*METLTask3[[#This Row],[CDR''s Weight]],IF(G8=$A$7,$B$7*METLTask3[[#This Row],[CDR''s Weight]]))))</f>
        <v/>
      </c>
      <c r="K8" s="25">
        <f>VLOOKUP(METLTask3[[#This Row],[Commander''s Assessment]],Table218[],2,FALSE)*(1-(($I$5:$I$14-1)*(100/MAX($I$5:$I$14)/100)))</f>
        <v>0.6</v>
      </c>
      <c r="L8" s="26"/>
      <c r="M8" s="25"/>
      <c r="N8" s="25"/>
      <c r="O8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8" s="43"/>
    </row>
    <row r="9" spans="1:16" hidden="1" outlineLevel="1" x14ac:dyDescent="0.3">
      <c r="C9" s="8"/>
      <c r="D9" s="9"/>
      <c r="E9" s="27" t="s">
        <v>24</v>
      </c>
      <c r="F9" s="33"/>
      <c r="G9" s="20" t="s">
        <v>1</v>
      </c>
      <c r="H9" s="35" t="str">
        <f>IF(ISBLANK(METLTask3[[#This Row],[CDR''s Weight]]),"",VLOOKUP(METLTask3[[#This Row],[Commander''s Assessment]],Table218[],2,FALSE)*(1-(METLTask3[CDR''s Weight]-1)*(100/MAX(METLTask3[CDR''s Weight])/100)))</f>
        <v/>
      </c>
      <c r="I9" s="28">
        <v>6</v>
      </c>
      <c r="J9" s="24" t="str">
        <f>IF(ISNUMBER(SEARCH("→",METLTask3[[#This Row],[METL Task 3]])),"",IF(G9=$A$5,$B$5*METLTask3[[#This Row],[CDR''s Weight]],IF(G9=$A$6,$B$6*METLTask3[[#This Row],[CDR''s Weight]],IF(G9=$A$7,$B$7*METLTask3[[#This Row],[CDR''s Weight]]))))</f>
        <v/>
      </c>
      <c r="K9" s="25">
        <f>VLOOKUP(METLTask3[[#This Row],[Commander''s Assessment]],Table218[],2,FALSE)*(1-(($I$5:$I$14-1)*(100/MAX($I$5:$I$14)/100)))</f>
        <v>0.5</v>
      </c>
      <c r="L9" s="26"/>
      <c r="M9" s="25"/>
      <c r="N9" s="25"/>
      <c r="O9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9" s="43"/>
    </row>
    <row r="10" spans="1:16" hidden="1" outlineLevel="1" x14ac:dyDescent="0.3">
      <c r="C10" s="8"/>
      <c r="D10" s="9"/>
      <c r="E10" s="27" t="s">
        <v>24</v>
      </c>
      <c r="F10" s="31"/>
      <c r="G10" s="20" t="s">
        <v>2</v>
      </c>
      <c r="H10" s="35" t="str">
        <f>IF(ISBLANK(METLTask3[[#This Row],[CDR''s Weight]]),"",VLOOKUP(METLTask3[[#This Row],[Commander''s Assessment]],Table218[],2,FALSE)*(1-(METLTask3[CDR''s Weight]-1)*(100/MAX(METLTask3[CDR''s Weight])/100)))</f>
        <v/>
      </c>
      <c r="I10" s="28">
        <v>7</v>
      </c>
      <c r="J10" s="24" t="str">
        <f>IF(ISNUMBER(SEARCH("→",METLTask3[[#This Row],[METL Task 3]])),"",IF(G10=$A$5,$B$5*METLTask3[[#This Row],[CDR''s Weight]],IF(G10=$A$6,$B$6*METLTask3[[#This Row],[CDR''s Weight]],IF(G10=$A$7,$B$7*METLTask3[[#This Row],[CDR''s Weight]]))))</f>
        <v/>
      </c>
      <c r="K10" s="25">
        <f>VLOOKUP(METLTask3[[#This Row],[Commander''s Assessment]],Table218[],2,FALSE)*(1-(($I$5:$I$14-1)*(100/MAX($I$5:$I$14)/100)))</f>
        <v>0.19999999999999996</v>
      </c>
      <c r="L10" s="26"/>
      <c r="M10" s="25"/>
      <c r="N10" s="25"/>
      <c r="O10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0" s="43"/>
    </row>
    <row r="11" spans="1:16" hidden="1" outlineLevel="1" x14ac:dyDescent="0.3">
      <c r="C11" s="8"/>
      <c r="D11" s="9"/>
      <c r="E11" s="27" t="s">
        <v>24</v>
      </c>
      <c r="F11" s="31"/>
      <c r="G11" s="20" t="s">
        <v>1</v>
      </c>
      <c r="H11" s="35" t="str">
        <f>IF(ISBLANK(METLTask3[[#This Row],[CDR''s Weight]]),"",VLOOKUP(METLTask3[[#This Row],[Commander''s Assessment]],Table218[],2,FALSE)*(1-(METLTask3[CDR''s Weight]-1)*(100/MAX(METLTask3[CDR''s Weight])/100)))</f>
        <v/>
      </c>
      <c r="I11" s="28">
        <v>8</v>
      </c>
      <c r="J11" s="24" t="str">
        <f>IF(ISNUMBER(SEARCH("→",METLTask3[[#This Row],[METL Task 3]])),"",IF(G11=$A$5,$B$5*METLTask3[[#This Row],[CDR''s Weight]],IF(G11=$A$6,$B$6*METLTask3[[#This Row],[CDR''s Weight]],IF(G11=$A$7,$B$7*METLTask3[[#This Row],[CDR''s Weight]]))))</f>
        <v/>
      </c>
      <c r="K11" s="25">
        <f>VLOOKUP(METLTask3[[#This Row],[Commander''s Assessment]],Table218[],2,FALSE)*(1-(($I$5:$I$14-1)*(100/MAX($I$5:$I$14)/100)))</f>
        <v>0.29999999999999993</v>
      </c>
      <c r="L11" s="26"/>
      <c r="M11" s="25"/>
      <c r="N11" s="25"/>
      <c r="O11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1" s="43"/>
    </row>
    <row r="12" spans="1:16" hidden="1" outlineLevel="1" x14ac:dyDescent="0.3">
      <c r="C12" s="8"/>
      <c r="D12" s="9"/>
      <c r="E12" s="27" t="s">
        <v>24</v>
      </c>
      <c r="F12" s="31"/>
      <c r="G12" s="20" t="s">
        <v>1</v>
      </c>
      <c r="H12" s="35" t="str">
        <f>IF(ISBLANK(METLTask3[[#This Row],[CDR''s Weight]]),"",VLOOKUP(METLTask3[[#This Row],[Commander''s Assessment]],Table218[],2,FALSE)*(1-(METLTask3[CDR''s Weight]-1)*(100/MAX(METLTask3[CDR''s Weight])/100)))</f>
        <v/>
      </c>
      <c r="I12" s="28">
        <v>9</v>
      </c>
      <c r="J12" s="24" t="str">
        <f>IF(ISNUMBER(SEARCH("→",METLTask3[[#This Row],[METL Task 3]])),"",IF(G12=$A$5,$B$5*METLTask3[[#This Row],[CDR''s Weight]],IF(G12=$A$6,$B$6*METLTask3[[#This Row],[CDR''s Weight]],IF(G12=$A$7,$B$7*METLTask3[[#This Row],[CDR''s Weight]]))))</f>
        <v/>
      </c>
      <c r="K12" s="25">
        <f>VLOOKUP(METLTask3[[#This Row],[Commander''s Assessment]],Table218[],2,FALSE)*(1-(($I$5:$I$14-1)*(100/MAX($I$5:$I$14)/100)))</f>
        <v>0.19999999999999996</v>
      </c>
      <c r="L12" s="26"/>
      <c r="M12" s="25"/>
      <c r="N12" s="25"/>
      <c r="O12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2" s="43"/>
    </row>
    <row r="13" spans="1:16" hidden="1" outlineLevel="1" x14ac:dyDescent="0.3">
      <c r="C13" s="8"/>
      <c r="D13" s="9"/>
      <c r="E13" s="27" t="s">
        <v>24</v>
      </c>
      <c r="F13" s="31"/>
      <c r="G13" s="20" t="s">
        <v>3</v>
      </c>
      <c r="H13" s="35" t="str">
        <f>IF(ISBLANK(METLTask3[[#This Row],[CDR''s Weight]]),"",VLOOKUP(METLTask3[[#This Row],[Commander''s Assessment]],Table218[],2,FALSE)*(1-(METLTask3[CDR''s Weight]-1)*(100/MAX(METLTask3[CDR''s Weight])/100)))</f>
        <v/>
      </c>
      <c r="I13" s="28">
        <v>10</v>
      </c>
      <c r="J13" s="24" t="str">
        <f>IF(ISNUMBER(SEARCH("→",METLTask3[[#This Row],[METL Task 3]])),"",IF(G13=$A$5,$B$5*METLTask3[[#This Row],[CDR''s Weight]],IF(G13=$A$6,$B$6*METLTask3[[#This Row],[CDR''s Weight]],IF(G13=$A$7,$B$7*METLTask3[[#This Row],[CDR''s Weight]]))))</f>
        <v/>
      </c>
      <c r="K13" s="25">
        <f>VLOOKUP(METLTask3[[#This Row],[Commander''s Assessment]],Table218[],2,FALSE)*(1-(($I$5:$I$14-1)*(100/MAX($I$5:$I$14)/100)))</f>
        <v>9.999999999999998E-4</v>
      </c>
      <c r="L13" s="26"/>
      <c r="M13" s="25"/>
      <c r="N13" s="25"/>
      <c r="O13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3" s="43"/>
    </row>
    <row r="14" spans="1:16" hidden="1" outlineLevel="1" x14ac:dyDescent="0.3">
      <c r="C14" s="8"/>
      <c r="D14" s="9"/>
      <c r="E14" s="27" t="s">
        <v>24</v>
      </c>
      <c r="F14" s="30"/>
      <c r="G14" s="20" t="s">
        <v>3</v>
      </c>
      <c r="H14" s="35" t="str">
        <f>IF(ISBLANK(METLTask3[[#This Row],[CDR''s Weight]]),"",VLOOKUP(METLTask3[[#This Row],[Commander''s Assessment]],Table218[],2,FALSE)*(1-(METLTask3[CDR''s Weight]-1)*(100/MAX(METLTask3[CDR''s Weight])/100)))</f>
        <v/>
      </c>
      <c r="I14" s="29">
        <v>1</v>
      </c>
      <c r="J14" s="24" t="str">
        <f>IF(ISNUMBER(SEARCH("→",METLTask3[[#This Row],[METL Task 3]])),"",IF(G14=$A$5,$B$5*METLTask3[[#This Row],[CDR''s Weight]],IF(G14=$A$6,$B$6*METLTask3[[#This Row],[CDR''s Weight]],IF(G14=$A$7,$B$7*METLTask3[[#This Row],[CDR''s Weight]]))))</f>
        <v/>
      </c>
      <c r="K14" s="25">
        <f>VLOOKUP(METLTask3[[#This Row],[Commander''s Assessment]],Table218[],2,FALSE)*(1-(($I$5:$I$14-1)*(100/MAX($I$5:$I$14)/100)))</f>
        <v>0.01</v>
      </c>
      <c r="L14" s="26"/>
      <c r="M14" s="21"/>
      <c r="N14" s="21"/>
      <c r="O14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4" s="43"/>
    </row>
    <row r="15" spans="1:16" collapsed="1" x14ac:dyDescent="0.3">
      <c r="C15" s="8"/>
      <c r="D15" s="9"/>
      <c r="E15" s="22" t="s">
        <v>16</v>
      </c>
      <c r="F15" s="20">
        <v>2</v>
      </c>
      <c r="G15" s="20" t="s">
        <v>1</v>
      </c>
      <c r="H15" s="35">
        <f>IF(ISBLANK(METLTask3[[#This Row],[CDR''s Weight]]),"",VLOOKUP(METLTask3[[#This Row],[Commander''s Assessment]],Table218[],2,FALSE)*(1-(METLTask3[CDR''s Weight]-1)*(100/MAX(METLTask3[CDR''s Weight])/100)))</f>
        <v>0.9</v>
      </c>
      <c r="I15" s="23"/>
      <c r="J15" s="24">
        <f>IF(ISNUMBER(SEARCH("→",METLTask3[[#This Row],[METL Task 3]])),"",IF(G15=$A$5,$B$5*METLTask3[[#This Row],[CDR''s Weight]],IF(G15=$A$6,$B$6*METLTask3[[#This Row],[CDR''s Weight]],IF(G15=$A$7,$B$7*METLTask3[[#This Row],[CDR''s Weight]]))))</f>
        <v>2</v>
      </c>
      <c r="K15" s="25" t="str">
        <f>IF(ISNUMBER(METLTask3[[#This Row],[Total]]),"",VLOOKUP(METLTask3[[#This Row],[Commander''s Assessment]],Table218[],2,FALSE)*(1-(($I$16:$I$25-1)*(100/MAX($I$16:$I$25)/100))))</f>
        <v/>
      </c>
      <c r="L15" s="26">
        <f>SUM(I16:I25)</f>
        <v>55</v>
      </c>
      <c r="M15" s="25">
        <f>SUM(K16:K25)*10</f>
        <v>33.609999999999992</v>
      </c>
      <c r="N15" s="25">
        <f>METLTask3[[#This Row],[New SB Total]]/METLTask3[[#This Row],[New SB Weight]]</f>
        <v>0.61109090909090891</v>
      </c>
      <c r="O15" s="2" t="str">
        <f>IF(ISBLANK(METLTask3[[#This Row],[calc]]),"",IF(METLTask3[[#This Row],[calc]]&gt;=0.66,$A$5,IF(AND(METLTask3[[#This Row],[calc]]&lt;0.66,METLTask3[[#This Row],[calc]]&gt;=0.33),$A$6,IF(METLTask3[[#This Row],[calc]]&lt;0.33,"U"))))</f>
        <v>P</v>
      </c>
      <c r="P15" s="43"/>
    </row>
    <row r="16" spans="1:16" hidden="1" outlineLevel="1" x14ac:dyDescent="0.3">
      <c r="B16" s="14"/>
      <c r="C16" s="8"/>
      <c r="D16" s="9"/>
      <c r="E16" s="27" t="s">
        <v>33</v>
      </c>
      <c r="F16" s="33"/>
      <c r="G16" s="20" t="s">
        <v>2</v>
      </c>
      <c r="H16" s="35" t="str">
        <f>IF(ISBLANK(METLTask3[[#This Row],[CDR''s Weight]]),"",VLOOKUP(METLTask3[[#This Row],[Commander''s Assessment]],Table218[],2,FALSE)*(1-(METLTask3[CDR''s Weight]-1)*(100/MAX(METLTask3[CDR''s Weight])/100)))</f>
        <v/>
      </c>
      <c r="I16" s="28">
        <v>2</v>
      </c>
      <c r="J16" s="24" t="str">
        <f>IF(ISNUMBER(SEARCH("→",METLTask3[[#This Row],[METL Task 3]])),"",IF(G16=$A$5,$B$5*METLTask3[[#This Row],[CDR''s Weight]],IF(G16=$A$6,$B$6*METLTask3[[#This Row],[CDR''s Weight]],IF(G16=$A$7,$B$7*METLTask3[[#This Row],[CDR''s Weight]]))))</f>
        <v/>
      </c>
      <c r="K16" s="25">
        <f>VLOOKUP(METLTask3[[#This Row],[Commander''s Assessment]],Table218[],2,FALSE)*(1-(($I$16:$I$25-1)*(100/MAX($I$16:$I$25)/100)))</f>
        <v>0.45</v>
      </c>
      <c r="L16" s="26"/>
      <c r="M16" s="25"/>
      <c r="N16" s="25"/>
      <c r="O16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6" s="43"/>
    </row>
    <row r="17" spans="2:16" ht="16.649999999999999" hidden="1" customHeight="1" outlineLevel="1" x14ac:dyDescent="0.3">
      <c r="B17" s="14"/>
      <c r="C17" s="8"/>
      <c r="D17" s="9"/>
      <c r="E17" s="27" t="s">
        <v>24</v>
      </c>
      <c r="F17" s="33"/>
      <c r="G17" s="20" t="s">
        <v>2</v>
      </c>
      <c r="H17" s="35" t="str">
        <f>IF(ISBLANK(METLTask3[[#This Row],[CDR''s Weight]]),"",VLOOKUP(METLTask3[[#This Row],[Commander''s Assessment]],Table218[],2,FALSE)*(1-(METLTask3[CDR''s Weight]-1)*(100/MAX(METLTask3[CDR''s Weight])/100)))</f>
        <v/>
      </c>
      <c r="I17" s="28">
        <v>3</v>
      </c>
      <c r="J17" s="24" t="str">
        <f>IF(ISNUMBER(SEARCH("→",METLTask3[[#This Row],[METL Task 3]])),"",IF(G17=$A$5,$B$5*METLTask3[[#This Row],[CDR''s Weight]],IF(G17=$A$6,$B$6*METLTask3[[#This Row],[CDR''s Weight]],IF(G17=$A$7,$B$7*METLTask3[[#This Row],[CDR''s Weight]]))))</f>
        <v/>
      </c>
      <c r="K17" s="25">
        <f>VLOOKUP(METLTask3[[#This Row],[Commander''s Assessment]],Table218[],2,FALSE)*(1-(($I$16:$I$25-1)*(100/MAX($I$16:$I$25)/100)))</f>
        <v>0.4</v>
      </c>
      <c r="L17" s="26"/>
      <c r="M17" s="25"/>
      <c r="N17" s="25"/>
      <c r="O17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7" s="43"/>
    </row>
    <row r="18" spans="2:16" hidden="1" outlineLevel="1" x14ac:dyDescent="0.3">
      <c r="B18" s="14"/>
      <c r="C18" s="8"/>
      <c r="D18" s="9"/>
      <c r="E18" s="27" t="s">
        <v>24</v>
      </c>
      <c r="F18" s="31"/>
      <c r="G18" s="20" t="s">
        <v>1</v>
      </c>
      <c r="H18" s="35" t="str">
        <f>IF(ISBLANK(METLTask3[[#This Row],[CDR''s Weight]]),"",VLOOKUP(METLTask3[[#This Row],[Commander''s Assessment]],Table218[],2,FALSE)*(1-(METLTask3[CDR''s Weight]-1)*(100/MAX(METLTask3[CDR''s Weight])/100)))</f>
        <v/>
      </c>
      <c r="I18" s="28">
        <v>4</v>
      </c>
      <c r="J18" s="24" t="str">
        <f>IF(ISNUMBER(SEARCH("→",METLTask3[[#This Row],[METL Task 3]])),"",IF(G18=$A$5,$B$5*METLTask3[[#This Row],[CDR''s Weight]],IF(G18=$A$6,$B$6*METLTask3[[#This Row],[CDR''s Weight]],IF(G18=$A$7,$B$7*METLTask3[[#This Row],[CDR''s Weight]]))))</f>
        <v/>
      </c>
      <c r="K18" s="25">
        <f>VLOOKUP(METLTask3[[#This Row],[Commander''s Assessment]],Table218[],2,FALSE)*(1-(($I$16:$I$25-1)*(100/MAX($I$16:$I$25)/100)))</f>
        <v>0.7</v>
      </c>
      <c r="L18" s="26"/>
      <c r="M18" s="25"/>
      <c r="N18" s="25"/>
      <c r="O18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8" s="43"/>
    </row>
    <row r="19" spans="2:16" hidden="1" outlineLevel="1" x14ac:dyDescent="0.3">
      <c r="C19" s="8"/>
      <c r="D19" s="9"/>
      <c r="E19" s="27" t="s">
        <v>24</v>
      </c>
      <c r="F19" s="33"/>
      <c r="G19" s="20" t="s">
        <v>1</v>
      </c>
      <c r="H19" s="35" t="str">
        <f>IF(ISBLANK(METLTask3[[#This Row],[CDR''s Weight]]),"",VLOOKUP(METLTask3[[#This Row],[Commander''s Assessment]],Table218[],2,FALSE)*(1-(METLTask3[CDR''s Weight]-1)*(100/MAX(METLTask3[CDR''s Weight])/100)))</f>
        <v/>
      </c>
      <c r="I19" s="28">
        <v>5</v>
      </c>
      <c r="J19" s="24" t="str">
        <f>IF(ISNUMBER(SEARCH("→",METLTask3[[#This Row],[METL Task 3]])),"",IF(G19=$A$5,$B$5*METLTask3[[#This Row],[CDR''s Weight]],IF(G19=$A$6,$B$6*METLTask3[[#This Row],[CDR''s Weight]],IF(G19=$A$7,$B$7*METLTask3[[#This Row],[CDR''s Weight]]))))</f>
        <v/>
      </c>
      <c r="K19" s="25">
        <f>VLOOKUP(METLTask3[[#This Row],[Commander''s Assessment]],Table218[],2,FALSE)*(1-(($I$16:$I$25-1)*(100/MAX($I$16:$I$25)/100)))</f>
        <v>0.6</v>
      </c>
      <c r="L19" s="26"/>
      <c r="M19" s="25"/>
      <c r="N19" s="25"/>
      <c r="O19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9" s="43"/>
    </row>
    <row r="20" spans="2:16" hidden="1" outlineLevel="1" x14ac:dyDescent="0.3">
      <c r="C20" s="8"/>
      <c r="D20" s="9"/>
      <c r="E20" s="27" t="s">
        <v>24</v>
      </c>
      <c r="F20" s="33"/>
      <c r="G20" s="20" t="s">
        <v>1</v>
      </c>
      <c r="H20" s="35" t="str">
        <f>IF(ISBLANK(METLTask3[[#This Row],[CDR''s Weight]]),"",VLOOKUP(METLTask3[[#This Row],[Commander''s Assessment]],Table218[],2,FALSE)*(1-(METLTask3[CDR''s Weight]-1)*(100/MAX(METLTask3[CDR''s Weight])/100)))</f>
        <v/>
      </c>
      <c r="I20" s="28">
        <v>6</v>
      </c>
      <c r="J20" s="24" t="str">
        <f>IF(ISNUMBER(SEARCH("→",METLTask3[[#This Row],[METL Task 3]])),"",IF(G20=$A$5,$B$5*METLTask3[[#This Row],[CDR''s Weight]],IF(G20=$A$6,$B$6*METLTask3[[#This Row],[CDR''s Weight]],IF(G20=$A$7,$B$7*METLTask3[[#This Row],[CDR''s Weight]]))))</f>
        <v/>
      </c>
      <c r="K20" s="25">
        <f>VLOOKUP(METLTask3[[#This Row],[Commander''s Assessment]],Table218[],2,FALSE)*(1-(($I$16:$I$25-1)*(100/MAX($I$16:$I$25)/100)))</f>
        <v>0.5</v>
      </c>
      <c r="L20" s="26"/>
      <c r="M20" s="25"/>
      <c r="N20" s="25"/>
      <c r="O20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20" s="43"/>
    </row>
    <row r="21" spans="2:16" hidden="1" outlineLevel="1" x14ac:dyDescent="0.3">
      <c r="C21" s="8"/>
      <c r="D21" s="9"/>
      <c r="E21" s="27" t="s">
        <v>24</v>
      </c>
      <c r="F21" s="33"/>
      <c r="G21" s="20" t="s">
        <v>2</v>
      </c>
      <c r="H21" s="35" t="str">
        <f>IF(ISBLANK(METLTask3[[#This Row],[CDR''s Weight]]),"",VLOOKUP(METLTask3[[#This Row],[Commander''s Assessment]],Table218[],2,FALSE)*(1-(METLTask3[CDR''s Weight]-1)*(100/MAX(METLTask3[CDR''s Weight])/100)))</f>
        <v/>
      </c>
      <c r="I21" s="28">
        <v>7</v>
      </c>
      <c r="J21" s="24" t="str">
        <f>IF(ISNUMBER(SEARCH("→",METLTask3[[#This Row],[METL Task 3]])),"",IF(G21=$A$5,$B$5*METLTask3[[#This Row],[CDR''s Weight]],IF(G21=$A$6,$B$6*METLTask3[[#This Row],[CDR''s Weight]],IF(G21=$A$7,$B$7*METLTask3[[#This Row],[CDR''s Weight]]))))</f>
        <v/>
      </c>
      <c r="K21" s="25">
        <f>VLOOKUP(METLTask3[[#This Row],[Commander''s Assessment]],Table218[],2,FALSE)*(1-(($I$16:$I$25-1)*(100/MAX($I$16:$I$25)/100)))</f>
        <v>0.19999999999999996</v>
      </c>
      <c r="L21" s="26"/>
      <c r="M21" s="25"/>
      <c r="N21" s="25"/>
      <c r="O21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21" s="43"/>
    </row>
    <row r="22" spans="2:16" hidden="1" outlineLevel="1" x14ac:dyDescent="0.3">
      <c r="C22" s="8"/>
      <c r="D22" s="9"/>
      <c r="E22" s="27" t="s">
        <v>24</v>
      </c>
      <c r="F22" s="33"/>
      <c r="G22" s="20" t="s">
        <v>1</v>
      </c>
      <c r="H22" s="35" t="str">
        <f>IF(ISBLANK(METLTask3[[#This Row],[CDR''s Weight]]),"",VLOOKUP(METLTask3[[#This Row],[Commander''s Assessment]],Table218[],2,FALSE)*(1-(METLTask3[CDR''s Weight]-1)*(100/MAX(METLTask3[CDR''s Weight])/100)))</f>
        <v/>
      </c>
      <c r="I22" s="28">
        <v>8</v>
      </c>
      <c r="J22" s="24" t="str">
        <f>IF(ISNUMBER(SEARCH("→",METLTask3[[#This Row],[METL Task 3]])),"",IF(G22=$A$5,$B$5*METLTask3[[#This Row],[CDR''s Weight]],IF(G22=$A$6,$B$6*METLTask3[[#This Row],[CDR''s Weight]],IF(G22=$A$7,$B$7*METLTask3[[#This Row],[CDR''s Weight]]))))</f>
        <v/>
      </c>
      <c r="K22" s="25">
        <f>VLOOKUP(METLTask3[[#This Row],[Commander''s Assessment]],Table218[],2,FALSE)*(1-(($I$16:$I$25-1)*(100/MAX($I$16:$I$25)/100)))</f>
        <v>0.29999999999999993</v>
      </c>
      <c r="L22" s="26"/>
      <c r="M22" s="25"/>
      <c r="N22" s="25"/>
      <c r="O22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22" s="43"/>
    </row>
    <row r="23" spans="2:16" hidden="1" outlineLevel="1" x14ac:dyDescent="0.3">
      <c r="C23" s="8"/>
      <c r="D23" s="9"/>
      <c r="E23" s="27" t="s">
        <v>24</v>
      </c>
      <c r="F23" s="33"/>
      <c r="G23" s="20" t="s">
        <v>1</v>
      </c>
      <c r="H23" s="35" t="str">
        <f>IF(ISBLANK(METLTask3[[#This Row],[CDR''s Weight]]),"",VLOOKUP(METLTask3[[#This Row],[Commander''s Assessment]],Table218[],2,FALSE)*(1-(METLTask3[CDR''s Weight]-1)*(100/MAX(METLTask3[CDR''s Weight])/100)))</f>
        <v/>
      </c>
      <c r="I23" s="28">
        <v>9</v>
      </c>
      <c r="J23" s="24" t="str">
        <f>IF(ISNUMBER(SEARCH("→",METLTask3[[#This Row],[METL Task 3]])),"",IF(G23=$A$5,$B$5*METLTask3[[#This Row],[CDR''s Weight]],IF(G23=$A$6,$B$6*METLTask3[[#This Row],[CDR''s Weight]],IF(G23=$A$7,$B$7*METLTask3[[#This Row],[CDR''s Weight]]))))</f>
        <v/>
      </c>
      <c r="K23" s="25">
        <f>VLOOKUP(METLTask3[[#This Row],[Commander''s Assessment]],Table218[],2,FALSE)*(1-(($I$16:$I$25-1)*(100/MAX($I$16:$I$25)/100)))</f>
        <v>0.19999999999999996</v>
      </c>
      <c r="L23" s="26"/>
      <c r="M23" s="25"/>
      <c r="N23" s="25"/>
      <c r="O23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23" s="43"/>
    </row>
    <row r="24" spans="2:16" hidden="1" outlineLevel="1" x14ac:dyDescent="0.3">
      <c r="C24" s="8"/>
      <c r="D24" s="9"/>
      <c r="E24" s="27" t="s">
        <v>24</v>
      </c>
      <c r="F24" s="33"/>
      <c r="G24" s="20" t="s">
        <v>3</v>
      </c>
      <c r="H24" s="35" t="str">
        <f>IF(ISBLANK(METLTask3[[#This Row],[CDR''s Weight]]),"",VLOOKUP(METLTask3[[#This Row],[Commander''s Assessment]],Table218[],2,FALSE)*(1-(METLTask3[CDR''s Weight]-1)*(100/MAX(METLTask3[CDR''s Weight])/100)))</f>
        <v/>
      </c>
      <c r="I24" s="28">
        <v>10</v>
      </c>
      <c r="J24" s="24" t="str">
        <f>IF(ISNUMBER(SEARCH("→",METLTask3[[#This Row],[METL Task 3]])),"",IF(G24=$A$5,$B$5*METLTask3[[#This Row],[CDR''s Weight]],IF(G24=$A$6,$B$6*METLTask3[[#This Row],[CDR''s Weight]],IF(G24=$A$7,$B$7*METLTask3[[#This Row],[CDR''s Weight]]))))</f>
        <v/>
      </c>
      <c r="K24" s="25">
        <f>VLOOKUP(METLTask3[[#This Row],[Commander''s Assessment]],Table218[],2,FALSE)*(1-(($I$16:$I$25-1)*(100/MAX($I$16:$I$25)/100)))</f>
        <v>9.999999999999998E-4</v>
      </c>
      <c r="L24" s="26"/>
      <c r="M24" s="25"/>
      <c r="N24" s="25"/>
      <c r="O24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24" s="43"/>
    </row>
    <row r="25" spans="2:16" hidden="1" outlineLevel="1" x14ac:dyDescent="0.3">
      <c r="C25" s="8"/>
      <c r="D25" s="9"/>
      <c r="E25" s="27" t="s">
        <v>24</v>
      </c>
      <c r="F25" s="31"/>
      <c r="G25" s="20" t="s">
        <v>3</v>
      </c>
      <c r="H25" s="35" t="str">
        <f>IF(ISBLANK(METLTask3[[#This Row],[CDR''s Weight]]),"",VLOOKUP(METLTask3[[#This Row],[Commander''s Assessment]],Table218[],2,FALSE)*(1-(METLTask3[CDR''s Weight]-1)*(100/MAX(METLTask3[CDR''s Weight])/100)))</f>
        <v/>
      </c>
      <c r="I25" s="29">
        <v>1</v>
      </c>
      <c r="J25" s="24" t="str">
        <f>IF(ISNUMBER(SEARCH("→",METLTask3[[#This Row],[METL Task 3]])),"",IF(G25=$A$5,$B$5*METLTask3[[#This Row],[CDR''s Weight]],IF(G25=$A$6,$B$6*METLTask3[[#This Row],[CDR''s Weight]],IF(G25=$A$7,$B$7*METLTask3[[#This Row],[CDR''s Weight]]))))</f>
        <v/>
      </c>
      <c r="K25" s="25">
        <f>VLOOKUP(METLTask3[[#This Row],[Commander''s Assessment]],Table218[],2,FALSE)*(1-(($I$16:$I$25-1)*(100/MAX($I$16:$I$25)/100)))</f>
        <v>0.01</v>
      </c>
      <c r="L25" s="26"/>
      <c r="M25" s="21"/>
      <c r="N25" s="21"/>
      <c r="O25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25" s="43"/>
    </row>
    <row r="26" spans="2:16" collapsed="1" x14ac:dyDescent="0.3">
      <c r="E26" s="22" t="s">
        <v>16</v>
      </c>
      <c r="F26" s="20">
        <v>3</v>
      </c>
      <c r="G26" s="20" t="s">
        <v>2</v>
      </c>
      <c r="H26" s="35">
        <f>IF(ISBLANK(METLTask3[[#This Row],[CDR''s Weight]]),"",VLOOKUP(METLTask3[[#This Row],[Commander''s Assessment]],Table218[],2,FALSE)*(1-(METLTask3[CDR''s Weight]-1)*(100/MAX(METLTask3[CDR''s Weight])/100)))</f>
        <v>0.4</v>
      </c>
      <c r="I26" s="23"/>
      <c r="J26" s="24">
        <f>IF(ISNUMBER(SEARCH("→",METLTask3[[#This Row],[METL Task 3]])),"",IF(G26=$A$5,$B$5*METLTask3[[#This Row],[CDR''s Weight]],IF(G26=$A$6,$B$6*METLTask3[[#This Row],[CDR''s Weight]],IF(G26=$A$7,$B$7*METLTask3[[#This Row],[CDR''s Weight]]))))</f>
        <v>1.5</v>
      </c>
      <c r="K26" s="25" t="str">
        <f>IF(ISNUMBER(METLTask3[[#This Row],[Total]]),"",VLOOKUP(METLTask3[[#This Row],[Commander''s Assessment]],Table218[],2,FALSE)*(1-(($I$27:$I$36-1)*(100/MAX($I$27:$I$36)/100))))</f>
        <v/>
      </c>
      <c r="L26" s="26">
        <f>SUM(I27:I36)</f>
        <v>55</v>
      </c>
      <c r="M26" s="25">
        <f>SUM(K27:K36)*10</f>
        <v>37.61</v>
      </c>
      <c r="N26" s="25">
        <f>METLTask3[[#This Row],[New SB Total]]/METLTask3[[#This Row],[New SB Weight]]</f>
        <v>0.68381818181818177</v>
      </c>
      <c r="O26" s="2" t="str">
        <f>IF(ISBLANK(METLTask3[[#This Row],[calc]]),"",IF(METLTask3[[#This Row],[calc]]&gt;=0.66,$A$5,IF(AND(METLTask3[[#This Row],[calc]]&lt;0.66,METLTask3[[#This Row],[calc]]&gt;=0.33),$A$6,IF(METLTask3[[#This Row],[calc]]&lt;0.33,"U"))))</f>
        <v>T</v>
      </c>
      <c r="P26" s="43"/>
    </row>
    <row r="27" spans="2:16" hidden="1" outlineLevel="1" x14ac:dyDescent="0.3">
      <c r="E27" s="27" t="s">
        <v>33</v>
      </c>
      <c r="F27" s="33"/>
      <c r="G27" s="20" t="s">
        <v>2</v>
      </c>
      <c r="H27" s="35" t="str">
        <f>IF(ISBLANK(METLTask3[[#This Row],[CDR''s Weight]]),"",VLOOKUP(METLTask3[[#This Row],[Commander''s Assessment]],Table218[],2,FALSE)*(1-(METLTask3[CDR''s Weight]-1)*(100/MAX(METLTask3[CDR''s Weight])/100)))</f>
        <v/>
      </c>
      <c r="I27" s="28">
        <v>2</v>
      </c>
      <c r="J27" s="24" t="str">
        <f>IF(ISNUMBER(SEARCH("→",METLTask3[[#This Row],[METL Task 3]])),"",IF(G27=$A$5,$B$5*METLTask3[[#This Row],[CDR''s Weight]],IF(G27=$A$6,$B$6*METLTask3[[#This Row],[CDR''s Weight]],IF(G27=$A$7,$B$7*METLTask3[[#This Row],[CDR''s Weight]]))))</f>
        <v/>
      </c>
      <c r="K27" s="25">
        <f>VLOOKUP(METLTask3[[#This Row],[Commander''s Assessment]],Table218[],2,FALSE)*(1-(($I$27:$I$36-1)*(100/MAX($I$27:$I$36)/100)))</f>
        <v>0.45</v>
      </c>
      <c r="L27" s="26"/>
      <c r="M27" s="25"/>
      <c r="N27" s="25"/>
      <c r="O27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27" s="43"/>
    </row>
    <row r="28" spans="2:16" hidden="1" outlineLevel="1" x14ac:dyDescent="0.3">
      <c r="E28" s="27" t="s">
        <v>24</v>
      </c>
      <c r="F28" s="33"/>
      <c r="G28" s="20" t="s">
        <v>1</v>
      </c>
      <c r="H28" s="35" t="str">
        <f>IF(ISBLANK(METLTask3[[#This Row],[CDR''s Weight]]),"",VLOOKUP(METLTask3[[#This Row],[Commander''s Assessment]],Table218[],2,FALSE)*(1-(METLTask3[CDR''s Weight]-1)*(100/MAX(METLTask3[CDR''s Weight])/100)))</f>
        <v/>
      </c>
      <c r="I28" s="28">
        <v>3</v>
      </c>
      <c r="J28" s="24" t="str">
        <f>IF(ISNUMBER(SEARCH("→",METLTask3[[#This Row],[METL Task 3]])),"",IF(G28=$A$5,$B$5*METLTask3[[#This Row],[CDR''s Weight]],IF(G28=$A$6,$B$6*METLTask3[[#This Row],[CDR''s Weight]],IF(G28=$A$7,$B$7*METLTask3[[#This Row],[CDR''s Weight]]))))</f>
        <v/>
      </c>
      <c r="K28" s="25">
        <f>VLOOKUP(METLTask3[[#This Row],[Commander''s Assessment]],Table218[],2,FALSE)*(1-(($I$27:$I$36-1)*(100/MAX($I$27:$I$36)/100)))</f>
        <v>0.8</v>
      </c>
      <c r="L28" s="26"/>
      <c r="M28" s="25"/>
      <c r="N28" s="25"/>
      <c r="O28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28" s="43"/>
    </row>
    <row r="29" spans="2:16" hidden="1" outlineLevel="1" x14ac:dyDescent="0.3">
      <c r="E29" s="27" t="s">
        <v>24</v>
      </c>
      <c r="F29" s="31"/>
      <c r="G29" s="20" t="s">
        <v>1</v>
      </c>
      <c r="H29" s="35" t="str">
        <f>IF(ISBLANK(METLTask3[[#This Row],[CDR''s Weight]]),"",VLOOKUP(METLTask3[[#This Row],[Commander''s Assessment]],Table218[],2,FALSE)*(1-(METLTask3[CDR''s Weight]-1)*(100/MAX(METLTask3[CDR''s Weight])/100)))</f>
        <v/>
      </c>
      <c r="I29" s="28">
        <v>4</v>
      </c>
      <c r="J29" s="24" t="str">
        <f>IF(ISNUMBER(SEARCH("→",METLTask3[[#This Row],[METL Task 3]])),"",IF(G29=$A$5,$B$5*METLTask3[[#This Row],[CDR''s Weight]],IF(G29=$A$6,$B$6*METLTask3[[#This Row],[CDR''s Weight]],IF(G29=$A$7,$B$7*METLTask3[[#This Row],[CDR''s Weight]]))))</f>
        <v/>
      </c>
      <c r="K29" s="25">
        <f>VLOOKUP(METLTask3[[#This Row],[Commander''s Assessment]],Table218[],2,FALSE)*(1-(($I$27:$I$36-1)*(100/MAX($I$27:$I$36)/100)))</f>
        <v>0.7</v>
      </c>
      <c r="L29" s="26"/>
      <c r="M29" s="25"/>
      <c r="N29" s="25"/>
      <c r="O29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29" s="43"/>
    </row>
    <row r="30" spans="2:16" hidden="1" outlineLevel="1" x14ac:dyDescent="0.3">
      <c r="E30" s="27" t="s">
        <v>24</v>
      </c>
      <c r="F30" s="33"/>
      <c r="G30" s="20" t="s">
        <v>1</v>
      </c>
      <c r="H30" s="35" t="str">
        <f>IF(ISBLANK(METLTask3[[#This Row],[CDR''s Weight]]),"",VLOOKUP(METLTask3[[#This Row],[Commander''s Assessment]],Table218[],2,FALSE)*(1-(METLTask3[CDR''s Weight]-1)*(100/MAX(METLTask3[CDR''s Weight])/100)))</f>
        <v/>
      </c>
      <c r="I30" s="28">
        <v>5</v>
      </c>
      <c r="J30" s="24" t="str">
        <f>IF(ISNUMBER(SEARCH("→",METLTask3[[#This Row],[METL Task 3]])),"",IF(G30=$A$5,$B$5*METLTask3[[#This Row],[CDR''s Weight]],IF(G30=$A$6,$B$6*METLTask3[[#This Row],[CDR''s Weight]],IF(G30=$A$7,$B$7*METLTask3[[#This Row],[CDR''s Weight]]))))</f>
        <v/>
      </c>
      <c r="K30" s="25">
        <f>VLOOKUP(METLTask3[[#This Row],[Commander''s Assessment]],Table218[],2,FALSE)*(1-(($I$27:$I$36-1)*(100/MAX($I$27:$I$36)/100)))</f>
        <v>0.6</v>
      </c>
      <c r="L30" s="26"/>
      <c r="M30" s="25"/>
      <c r="N30" s="25"/>
      <c r="O30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30" s="43"/>
    </row>
    <row r="31" spans="2:16" hidden="1" outlineLevel="1" x14ac:dyDescent="0.3">
      <c r="E31" s="27" t="s">
        <v>24</v>
      </c>
      <c r="F31" s="33"/>
      <c r="G31" s="20" t="s">
        <v>1</v>
      </c>
      <c r="H31" s="35" t="str">
        <f>IF(ISBLANK(METLTask3[[#This Row],[CDR''s Weight]]),"",VLOOKUP(METLTask3[[#This Row],[Commander''s Assessment]],Table218[],2,FALSE)*(1-(METLTask3[CDR''s Weight]-1)*(100/MAX(METLTask3[CDR''s Weight])/100)))</f>
        <v/>
      </c>
      <c r="I31" s="28">
        <v>6</v>
      </c>
      <c r="J31" s="24" t="str">
        <f>IF(ISNUMBER(SEARCH("→",METLTask3[[#This Row],[METL Task 3]])),"",IF(G31=$A$5,$B$5*METLTask3[[#This Row],[CDR''s Weight]],IF(G31=$A$6,$B$6*METLTask3[[#This Row],[CDR''s Weight]],IF(G31=$A$7,$B$7*METLTask3[[#This Row],[CDR''s Weight]]))))</f>
        <v/>
      </c>
      <c r="K31" s="25">
        <f>VLOOKUP(METLTask3[[#This Row],[Commander''s Assessment]],Table218[],2,FALSE)*(1-(($I$27:$I$36-1)*(100/MAX($I$27:$I$36)/100)))</f>
        <v>0.5</v>
      </c>
      <c r="L31" s="26"/>
      <c r="M31" s="25"/>
      <c r="N31" s="25"/>
      <c r="O31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31" s="43"/>
    </row>
    <row r="32" spans="2:16" hidden="1" outlineLevel="1" x14ac:dyDescent="0.3">
      <c r="E32" s="27" t="s">
        <v>24</v>
      </c>
      <c r="F32" s="33"/>
      <c r="G32" s="20" t="s">
        <v>2</v>
      </c>
      <c r="H32" s="35" t="str">
        <f>IF(ISBLANK(METLTask3[[#This Row],[CDR''s Weight]]),"",VLOOKUP(METLTask3[[#This Row],[Commander''s Assessment]],Table218[],2,FALSE)*(1-(METLTask3[CDR''s Weight]-1)*(100/MAX(METLTask3[CDR''s Weight])/100)))</f>
        <v/>
      </c>
      <c r="I32" s="28">
        <v>7</v>
      </c>
      <c r="J32" s="24" t="str">
        <f>IF(ISNUMBER(SEARCH("→",METLTask3[[#This Row],[METL Task 3]])),"",IF(G32=$A$5,$B$5*METLTask3[[#This Row],[CDR''s Weight]],IF(G32=$A$6,$B$6*METLTask3[[#This Row],[CDR''s Weight]],IF(G32=$A$7,$B$7*METLTask3[[#This Row],[CDR''s Weight]]))))</f>
        <v/>
      </c>
      <c r="K32" s="25">
        <f>VLOOKUP(METLTask3[[#This Row],[Commander''s Assessment]],Table218[],2,FALSE)*(1-(($I$27:$I$36-1)*(100/MAX($I$27:$I$36)/100)))</f>
        <v>0.19999999999999996</v>
      </c>
      <c r="L32" s="26"/>
      <c r="M32" s="25"/>
      <c r="N32" s="25"/>
      <c r="O32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32" s="43"/>
    </row>
    <row r="33" spans="5:16" hidden="1" outlineLevel="1" x14ac:dyDescent="0.3">
      <c r="E33" s="27" t="s">
        <v>24</v>
      </c>
      <c r="F33" s="33"/>
      <c r="G33" s="20" t="s">
        <v>1</v>
      </c>
      <c r="H33" s="35" t="str">
        <f>IF(ISBLANK(METLTask3[[#This Row],[CDR''s Weight]]),"",VLOOKUP(METLTask3[[#This Row],[Commander''s Assessment]],Table218[],2,FALSE)*(1-(METLTask3[CDR''s Weight]-1)*(100/MAX(METLTask3[CDR''s Weight])/100)))</f>
        <v/>
      </c>
      <c r="I33" s="28">
        <v>8</v>
      </c>
      <c r="J33" s="24" t="str">
        <f>IF(ISNUMBER(SEARCH("→",METLTask3[[#This Row],[METL Task 3]])),"",IF(G33=$A$5,$B$5*METLTask3[[#This Row],[CDR''s Weight]],IF(G33=$A$6,$B$6*METLTask3[[#This Row],[CDR''s Weight]],IF(G33=$A$7,$B$7*METLTask3[[#This Row],[CDR''s Weight]]))))</f>
        <v/>
      </c>
      <c r="K33" s="25">
        <f>VLOOKUP(METLTask3[[#This Row],[Commander''s Assessment]],Table218[],2,FALSE)*(1-(($I$27:$I$36-1)*(100/MAX($I$27:$I$36)/100)))</f>
        <v>0.29999999999999993</v>
      </c>
      <c r="L33" s="26"/>
      <c r="M33" s="25"/>
      <c r="N33" s="25"/>
      <c r="O33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33" s="43"/>
    </row>
    <row r="34" spans="5:16" hidden="1" outlineLevel="1" x14ac:dyDescent="0.3">
      <c r="E34" s="27" t="s">
        <v>24</v>
      </c>
      <c r="F34" s="33"/>
      <c r="G34" s="20" t="s">
        <v>1</v>
      </c>
      <c r="H34" s="35" t="str">
        <f>IF(ISBLANK(METLTask3[[#This Row],[CDR''s Weight]]),"",VLOOKUP(METLTask3[[#This Row],[Commander''s Assessment]],Table218[],2,FALSE)*(1-(METLTask3[CDR''s Weight]-1)*(100/MAX(METLTask3[CDR''s Weight])/100)))</f>
        <v/>
      </c>
      <c r="I34" s="28">
        <v>9</v>
      </c>
      <c r="J34" s="24" t="str">
        <f>IF(ISNUMBER(SEARCH("→",METLTask3[[#This Row],[METL Task 3]])),"",IF(G34=$A$5,$B$5*METLTask3[[#This Row],[CDR''s Weight]],IF(G34=$A$6,$B$6*METLTask3[[#This Row],[CDR''s Weight]],IF(G34=$A$7,$B$7*METLTask3[[#This Row],[CDR''s Weight]]))))</f>
        <v/>
      </c>
      <c r="K34" s="25">
        <f>VLOOKUP(METLTask3[[#This Row],[Commander''s Assessment]],Table218[],2,FALSE)*(1-(($I$27:$I$36-1)*(100/MAX($I$27:$I$36)/100)))</f>
        <v>0.19999999999999996</v>
      </c>
      <c r="L34" s="26"/>
      <c r="M34" s="25"/>
      <c r="N34" s="25"/>
      <c r="O34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34" s="43"/>
    </row>
    <row r="35" spans="5:16" hidden="1" outlineLevel="1" x14ac:dyDescent="0.3">
      <c r="E35" s="27" t="s">
        <v>24</v>
      </c>
      <c r="F35" s="33"/>
      <c r="G35" s="20" t="s">
        <v>3</v>
      </c>
      <c r="H35" s="35" t="str">
        <f>IF(ISBLANK(METLTask3[[#This Row],[CDR''s Weight]]),"",VLOOKUP(METLTask3[[#This Row],[Commander''s Assessment]],Table218[],2,FALSE)*(1-(METLTask3[CDR''s Weight]-1)*(100/MAX(METLTask3[CDR''s Weight])/100)))</f>
        <v/>
      </c>
      <c r="I35" s="28">
        <v>10</v>
      </c>
      <c r="J35" s="24" t="str">
        <f>IF(ISNUMBER(SEARCH("→",METLTask3[[#This Row],[METL Task 3]])),"",IF(G35=$A$5,$B$5*METLTask3[[#This Row],[CDR''s Weight]],IF(G35=$A$6,$B$6*METLTask3[[#This Row],[CDR''s Weight]],IF(G35=$A$7,$B$7*METLTask3[[#This Row],[CDR''s Weight]]))))</f>
        <v/>
      </c>
      <c r="K35" s="25">
        <f>VLOOKUP(METLTask3[[#This Row],[Commander''s Assessment]],Table218[],2,FALSE)*(1-(($I$27:$I$36-1)*(100/MAX($I$27:$I$36)/100)))</f>
        <v>9.999999999999998E-4</v>
      </c>
      <c r="L35" s="26"/>
      <c r="M35" s="25"/>
      <c r="N35" s="25"/>
      <c r="O35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35" s="43"/>
    </row>
    <row r="36" spans="5:16" hidden="1" outlineLevel="1" x14ac:dyDescent="0.3">
      <c r="E36" s="27" t="s">
        <v>24</v>
      </c>
      <c r="F36" s="31"/>
      <c r="G36" s="20" t="s">
        <v>3</v>
      </c>
      <c r="H36" s="35" t="str">
        <f>IF(ISBLANK(METLTask3[[#This Row],[CDR''s Weight]]),"",VLOOKUP(METLTask3[[#This Row],[Commander''s Assessment]],Table218[],2,FALSE)*(1-(METLTask3[CDR''s Weight]-1)*(100/MAX(METLTask3[CDR''s Weight])/100)))</f>
        <v/>
      </c>
      <c r="I36" s="29">
        <v>1</v>
      </c>
      <c r="J36" s="24" t="str">
        <f>IF(ISNUMBER(SEARCH("→",METLTask3[[#This Row],[METL Task 3]])),"",IF(G36=$A$5,$B$5*METLTask3[[#This Row],[CDR''s Weight]],IF(G36=$A$6,$B$6*METLTask3[[#This Row],[CDR''s Weight]],IF(G36=$A$7,$B$7*METLTask3[[#This Row],[CDR''s Weight]]))))</f>
        <v/>
      </c>
      <c r="K36" s="25">
        <f>VLOOKUP(METLTask3[[#This Row],[Commander''s Assessment]],Table218[],2,FALSE)*(1-(($I$27:$I$36-1)*(100/MAX($I$27:$I$36)/100)))</f>
        <v>0.01</v>
      </c>
      <c r="L36" s="26"/>
      <c r="M36" s="21"/>
      <c r="N36" s="21"/>
      <c r="O36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36" s="43"/>
    </row>
    <row r="37" spans="5:16" collapsed="1" x14ac:dyDescent="0.3">
      <c r="E37" s="22" t="s">
        <v>16</v>
      </c>
      <c r="F37" s="20">
        <v>4</v>
      </c>
      <c r="G37" s="20" t="s">
        <v>1</v>
      </c>
      <c r="H37" s="35">
        <f>IF(ISBLANK(METLTask3[[#This Row],[CDR''s Weight]]),"",VLOOKUP(METLTask3[[#This Row],[Commander''s Assessment]],Table218[],2,FALSE)*(1-(METLTask3[CDR''s Weight]-1)*(100/MAX(METLTask3[CDR''s Weight])/100)))</f>
        <v>0.7</v>
      </c>
      <c r="I37" s="23"/>
      <c r="J37" s="24">
        <f>IF(ISNUMBER(SEARCH("→",METLTask3[[#This Row],[METL Task 3]])),"",IF(G37=$A$5,$B$5*METLTask3[[#This Row],[CDR''s Weight]],IF(G37=$A$6,$B$6*METLTask3[[#This Row],[CDR''s Weight]],IF(G37=$A$7,$B$7*METLTask3[[#This Row],[CDR''s Weight]]))))</f>
        <v>4</v>
      </c>
      <c r="K37" s="25" t="str">
        <f>IF(ISNUMBER(METLTask3[[#This Row],[Total]]),"",VLOOKUP(METLTask3[[#This Row],[Commander''s Assessment]],Table218[],2,FALSE)*(1-(($I$38:$I$47-1)*(100/MAX($I$38:$I$47)/100))))</f>
        <v/>
      </c>
      <c r="L37" s="26">
        <f>SUM(I38:I47)</f>
        <v>55</v>
      </c>
      <c r="M37" s="25">
        <f>SUM(K38:K47)*10</f>
        <v>37.61</v>
      </c>
      <c r="N37" s="25">
        <f>METLTask3[[#This Row],[New SB Total]]/METLTask3[[#This Row],[New SB Weight]]</f>
        <v>0.68381818181818177</v>
      </c>
      <c r="O37" s="2" t="str">
        <f>IF(ISBLANK(METLTask3[[#This Row],[calc]]),"",IF(METLTask3[[#This Row],[calc]]&gt;=0.66,$A$5,IF(AND(METLTask3[[#This Row],[calc]]&lt;0.66,METLTask3[[#This Row],[calc]]&gt;=0.33),$A$6,IF(METLTask3[[#This Row],[calc]]&lt;0.33,"U"))))</f>
        <v>T</v>
      </c>
      <c r="P37" s="43"/>
    </row>
    <row r="38" spans="5:16" hidden="1" outlineLevel="1" x14ac:dyDescent="0.3">
      <c r="E38" s="27" t="s">
        <v>33</v>
      </c>
      <c r="F38" s="33"/>
      <c r="G38" s="20" t="s">
        <v>2</v>
      </c>
      <c r="H38" s="35" t="str">
        <f>IF(ISBLANK(METLTask3[[#This Row],[CDR''s Weight]]),"",VLOOKUP(METLTask3[[#This Row],[Commander''s Assessment]],Table218[],2,FALSE)*(1-(METLTask3[CDR''s Weight]-1)*(100/MAX(METLTask3[CDR''s Weight])/100)))</f>
        <v/>
      </c>
      <c r="I38" s="28">
        <v>2</v>
      </c>
      <c r="J38" s="24" t="str">
        <f>IF(ISNUMBER(SEARCH("→",METLTask3[[#This Row],[METL Task 3]])),"",IF(G38=$A$5,$B$5*METLTask3[[#This Row],[CDR''s Weight]],IF(G38=$A$6,$B$6*METLTask3[[#This Row],[CDR''s Weight]],IF(G38=$A$7,$B$7*METLTask3[[#This Row],[CDR''s Weight]]))))</f>
        <v/>
      </c>
      <c r="K38" s="25">
        <f>VLOOKUP(METLTask3[[#This Row],[Commander''s Assessment]],Table218[],2,FALSE)*(1-(($I$38:$I$47-1)*(100/MAX($I$38:$I$47)/100)))</f>
        <v>0.45</v>
      </c>
      <c r="L38" s="26"/>
      <c r="M38" s="25"/>
      <c r="N38" s="25"/>
      <c r="O38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38" s="43"/>
    </row>
    <row r="39" spans="5:16" hidden="1" outlineLevel="1" x14ac:dyDescent="0.3">
      <c r="E39" s="27" t="s">
        <v>24</v>
      </c>
      <c r="F39" s="33"/>
      <c r="G39" s="20" t="s">
        <v>1</v>
      </c>
      <c r="H39" s="35" t="str">
        <f>IF(ISBLANK(METLTask3[[#This Row],[CDR''s Weight]]),"",VLOOKUP(METLTask3[[#This Row],[Commander''s Assessment]],Table218[],2,FALSE)*(1-(METLTask3[CDR''s Weight]-1)*(100/MAX(METLTask3[CDR''s Weight])/100)))</f>
        <v/>
      </c>
      <c r="I39" s="28">
        <v>3</v>
      </c>
      <c r="J39" s="24" t="str">
        <f>IF(ISNUMBER(SEARCH("→",METLTask3[[#This Row],[METL Task 3]])),"",IF(G39=$A$5,$B$5*METLTask3[[#This Row],[CDR''s Weight]],IF(G39=$A$6,$B$6*METLTask3[[#This Row],[CDR''s Weight]],IF(G39=$A$7,$B$7*METLTask3[[#This Row],[CDR''s Weight]]))))</f>
        <v/>
      </c>
      <c r="K39" s="25">
        <f>VLOOKUP(METLTask3[[#This Row],[Commander''s Assessment]],Table218[],2,FALSE)*(1-(($I$38:$I$47-1)*(100/MAX($I$38:$I$47)/100)))</f>
        <v>0.8</v>
      </c>
      <c r="L39" s="26"/>
      <c r="M39" s="25"/>
      <c r="N39" s="25"/>
      <c r="O39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39" s="43"/>
    </row>
    <row r="40" spans="5:16" hidden="1" outlineLevel="1" x14ac:dyDescent="0.3">
      <c r="E40" s="27" t="s">
        <v>24</v>
      </c>
      <c r="F40" s="31"/>
      <c r="G40" s="20" t="s">
        <v>1</v>
      </c>
      <c r="H40" s="35" t="str">
        <f>IF(ISBLANK(METLTask3[[#This Row],[CDR''s Weight]]),"",VLOOKUP(METLTask3[[#This Row],[Commander''s Assessment]],Table218[],2,FALSE)*(1-(METLTask3[CDR''s Weight]-1)*(100/MAX(METLTask3[CDR''s Weight])/100)))</f>
        <v/>
      </c>
      <c r="I40" s="28">
        <v>4</v>
      </c>
      <c r="J40" s="24" t="str">
        <f>IF(ISNUMBER(SEARCH("→",METLTask3[[#This Row],[METL Task 3]])),"",IF(G40=$A$5,$B$5*METLTask3[[#This Row],[CDR''s Weight]],IF(G40=$A$6,$B$6*METLTask3[[#This Row],[CDR''s Weight]],IF(G40=$A$7,$B$7*METLTask3[[#This Row],[CDR''s Weight]]))))</f>
        <v/>
      </c>
      <c r="K40" s="25">
        <f>VLOOKUP(METLTask3[[#This Row],[Commander''s Assessment]],Table218[],2,FALSE)*(1-(($I$38:$I$47-1)*(100/MAX($I$38:$I$47)/100)))</f>
        <v>0.7</v>
      </c>
      <c r="L40" s="26"/>
      <c r="M40" s="25"/>
      <c r="N40" s="25"/>
      <c r="O40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40" s="43"/>
    </row>
    <row r="41" spans="5:16" hidden="1" outlineLevel="1" x14ac:dyDescent="0.3">
      <c r="E41" s="27" t="s">
        <v>24</v>
      </c>
      <c r="F41" s="33"/>
      <c r="G41" s="20" t="s">
        <v>1</v>
      </c>
      <c r="H41" s="35" t="str">
        <f>IF(ISBLANK(METLTask3[[#This Row],[CDR''s Weight]]),"",VLOOKUP(METLTask3[[#This Row],[Commander''s Assessment]],Table218[],2,FALSE)*(1-(METLTask3[CDR''s Weight]-1)*(100/MAX(METLTask3[CDR''s Weight])/100)))</f>
        <v/>
      </c>
      <c r="I41" s="28">
        <v>5</v>
      </c>
      <c r="J41" s="24" t="str">
        <f>IF(ISNUMBER(SEARCH("→",METLTask3[[#This Row],[METL Task 3]])),"",IF(G41=$A$5,$B$5*METLTask3[[#This Row],[CDR''s Weight]],IF(G41=$A$6,$B$6*METLTask3[[#This Row],[CDR''s Weight]],IF(G41=$A$7,$B$7*METLTask3[[#This Row],[CDR''s Weight]]))))</f>
        <v/>
      </c>
      <c r="K41" s="25">
        <f>VLOOKUP(METLTask3[[#This Row],[Commander''s Assessment]],Table218[],2,FALSE)*(1-(($I$38:$I$47-1)*(100/MAX($I$38:$I$47)/100)))</f>
        <v>0.6</v>
      </c>
      <c r="L41" s="26"/>
      <c r="M41" s="25"/>
      <c r="N41" s="25"/>
      <c r="O41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41" s="43"/>
    </row>
    <row r="42" spans="5:16" hidden="1" outlineLevel="1" x14ac:dyDescent="0.3">
      <c r="E42" s="27" t="s">
        <v>24</v>
      </c>
      <c r="F42" s="33"/>
      <c r="G42" s="20" t="s">
        <v>1</v>
      </c>
      <c r="H42" s="35" t="str">
        <f>IF(ISBLANK(METLTask3[[#This Row],[CDR''s Weight]]),"",VLOOKUP(METLTask3[[#This Row],[Commander''s Assessment]],Table218[],2,FALSE)*(1-(METLTask3[CDR''s Weight]-1)*(100/MAX(METLTask3[CDR''s Weight])/100)))</f>
        <v/>
      </c>
      <c r="I42" s="28">
        <v>6</v>
      </c>
      <c r="J42" s="24" t="str">
        <f>IF(ISNUMBER(SEARCH("→",METLTask3[[#This Row],[METL Task 3]])),"",IF(G42=$A$5,$B$5*METLTask3[[#This Row],[CDR''s Weight]],IF(G42=$A$6,$B$6*METLTask3[[#This Row],[CDR''s Weight]],IF(G42=$A$7,$B$7*METLTask3[[#This Row],[CDR''s Weight]]))))</f>
        <v/>
      </c>
      <c r="K42" s="25">
        <f>VLOOKUP(METLTask3[[#This Row],[Commander''s Assessment]],Table218[],2,FALSE)*(1-(($I$38:$I$47-1)*(100/MAX($I$38:$I$47)/100)))</f>
        <v>0.5</v>
      </c>
      <c r="L42" s="26"/>
      <c r="M42" s="25"/>
      <c r="N42" s="25"/>
      <c r="O42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42" s="43"/>
    </row>
    <row r="43" spans="5:16" hidden="1" outlineLevel="1" x14ac:dyDescent="0.3">
      <c r="E43" s="27" t="s">
        <v>24</v>
      </c>
      <c r="F43" s="33"/>
      <c r="G43" s="20" t="s">
        <v>2</v>
      </c>
      <c r="H43" s="35" t="str">
        <f>IF(ISBLANK(METLTask3[[#This Row],[CDR''s Weight]]),"",VLOOKUP(METLTask3[[#This Row],[Commander''s Assessment]],Table218[],2,FALSE)*(1-(METLTask3[CDR''s Weight]-1)*(100/MAX(METLTask3[CDR''s Weight])/100)))</f>
        <v/>
      </c>
      <c r="I43" s="28">
        <v>7</v>
      </c>
      <c r="J43" s="24" t="str">
        <f>IF(ISNUMBER(SEARCH("→",METLTask3[[#This Row],[METL Task 3]])),"",IF(G43=$A$5,$B$5*METLTask3[[#This Row],[CDR''s Weight]],IF(G43=$A$6,$B$6*METLTask3[[#This Row],[CDR''s Weight]],IF(G43=$A$7,$B$7*METLTask3[[#This Row],[CDR''s Weight]]))))</f>
        <v/>
      </c>
      <c r="K43" s="25">
        <f>VLOOKUP(METLTask3[[#This Row],[Commander''s Assessment]],Table218[],2,FALSE)*(1-(($I$38:$I$47-1)*(100/MAX($I$38:$I$47)/100)))</f>
        <v>0.19999999999999996</v>
      </c>
      <c r="L43" s="26"/>
      <c r="M43" s="25"/>
      <c r="N43" s="25"/>
      <c r="O43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43" s="43"/>
    </row>
    <row r="44" spans="5:16" hidden="1" outlineLevel="1" x14ac:dyDescent="0.3">
      <c r="E44" s="27" t="s">
        <v>24</v>
      </c>
      <c r="F44" s="33"/>
      <c r="G44" s="20" t="s">
        <v>1</v>
      </c>
      <c r="H44" s="35" t="str">
        <f>IF(ISBLANK(METLTask3[[#This Row],[CDR''s Weight]]),"",VLOOKUP(METLTask3[[#This Row],[Commander''s Assessment]],Table218[],2,FALSE)*(1-(METLTask3[CDR''s Weight]-1)*(100/MAX(METLTask3[CDR''s Weight])/100)))</f>
        <v/>
      </c>
      <c r="I44" s="28">
        <v>8</v>
      </c>
      <c r="J44" s="24" t="str">
        <f>IF(ISNUMBER(SEARCH("→",METLTask3[[#This Row],[METL Task 3]])),"",IF(G44=$A$5,$B$5*METLTask3[[#This Row],[CDR''s Weight]],IF(G44=$A$6,$B$6*METLTask3[[#This Row],[CDR''s Weight]],IF(G44=$A$7,$B$7*METLTask3[[#This Row],[CDR''s Weight]]))))</f>
        <v/>
      </c>
      <c r="K44" s="25">
        <f>VLOOKUP(METLTask3[[#This Row],[Commander''s Assessment]],Table218[],2,FALSE)*(1-(($I$38:$I$47-1)*(100/MAX($I$38:$I$47)/100)))</f>
        <v>0.29999999999999993</v>
      </c>
      <c r="L44" s="26"/>
      <c r="M44" s="25"/>
      <c r="N44" s="25"/>
      <c r="O44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44" s="43"/>
    </row>
    <row r="45" spans="5:16" hidden="1" outlineLevel="1" x14ac:dyDescent="0.3">
      <c r="E45" s="27" t="s">
        <v>24</v>
      </c>
      <c r="F45" s="33"/>
      <c r="G45" s="20" t="s">
        <v>1</v>
      </c>
      <c r="H45" s="35" t="str">
        <f>IF(ISBLANK(METLTask3[[#This Row],[CDR''s Weight]]),"",VLOOKUP(METLTask3[[#This Row],[Commander''s Assessment]],Table218[],2,FALSE)*(1-(METLTask3[CDR''s Weight]-1)*(100/MAX(METLTask3[CDR''s Weight])/100)))</f>
        <v/>
      </c>
      <c r="I45" s="28">
        <v>9</v>
      </c>
      <c r="J45" s="24" t="str">
        <f>IF(ISNUMBER(SEARCH("→",METLTask3[[#This Row],[METL Task 3]])),"",IF(G45=$A$5,$B$5*METLTask3[[#This Row],[CDR''s Weight]],IF(G45=$A$6,$B$6*METLTask3[[#This Row],[CDR''s Weight]],IF(G45=$A$7,$B$7*METLTask3[[#This Row],[CDR''s Weight]]))))</f>
        <v/>
      </c>
      <c r="K45" s="25">
        <f>VLOOKUP(METLTask3[[#This Row],[Commander''s Assessment]],Table218[],2,FALSE)*(1-(($I$38:$I$47-1)*(100/MAX($I$38:$I$47)/100)))</f>
        <v>0.19999999999999996</v>
      </c>
      <c r="L45" s="26"/>
      <c r="M45" s="25"/>
      <c r="N45" s="25"/>
      <c r="O45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45" s="43"/>
    </row>
    <row r="46" spans="5:16" hidden="1" outlineLevel="1" x14ac:dyDescent="0.3">
      <c r="E46" s="27" t="s">
        <v>24</v>
      </c>
      <c r="F46" s="33"/>
      <c r="G46" s="20" t="s">
        <v>3</v>
      </c>
      <c r="H46" s="35" t="str">
        <f>IF(ISBLANK(METLTask3[[#This Row],[CDR''s Weight]]),"",VLOOKUP(METLTask3[[#This Row],[Commander''s Assessment]],Table218[],2,FALSE)*(1-(METLTask3[CDR''s Weight]-1)*(100/MAX(METLTask3[CDR''s Weight])/100)))</f>
        <v/>
      </c>
      <c r="I46" s="28">
        <v>10</v>
      </c>
      <c r="J46" s="24" t="str">
        <f>IF(ISNUMBER(SEARCH("→",METLTask3[[#This Row],[METL Task 3]])),"",IF(G46=$A$5,$B$5*METLTask3[[#This Row],[CDR''s Weight]],IF(G46=$A$6,$B$6*METLTask3[[#This Row],[CDR''s Weight]],IF(G46=$A$7,$B$7*METLTask3[[#This Row],[CDR''s Weight]]))))</f>
        <v/>
      </c>
      <c r="K46" s="25">
        <f>VLOOKUP(METLTask3[[#This Row],[Commander''s Assessment]],Table218[],2,FALSE)*(1-(($I$38:$I$47-1)*(100/MAX($I$38:$I$47)/100)))</f>
        <v>9.999999999999998E-4</v>
      </c>
      <c r="L46" s="26"/>
      <c r="M46" s="25"/>
      <c r="N46" s="25"/>
      <c r="O46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46" s="43"/>
    </row>
    <row r="47" spans="5:16" hidden="1" outlineLevel="1" x14ac:dyDescent="0.3">
      <c r="E47" s="27" t="s">
        <v>24</v>
      </c>
      <c r="F47" s="31"/>
      <c r="G47" s="20" t="s">
        <v>3</v>
      </c>
      <c r="H47" s="35" t="str">
        <f>IF(ISBLANK(METLTask3[[#This Row],[CDR''s Weight]]),"",VLOOKUP(METLTask3[[#This Row],[Commander''s Assessment]],Table218[],2,FALSE)*(1-(METLTask3[CDR''s Weight]-1)*(100/MAX(METLTask3[CDR''s Weight])/100)))</f>
        <v/>
      </c>
      <c r="I47" s="29">
        <v>1</v>
      </c>
      <c r="J47" s="24" t="str">
        <f>IF(ISNUMBER(SEARCH("→",METLTask3[[#This Row],[METL Task 3]])),"",IF(G47=$A$5,$B$5*METLTask3[[#This Row],[CDR''s Weight]],IF(G47=$A$6,$B$6*METLTask3[[#This Row],[CDR''s Weight]],IF(G47=$A$7,$B$7*METLTask3[[#This Row],[CDR''s Weight]]))))</f>
        <v/>
      </c>
      <c r="K47" s="25">
        <f>VLOOKUP(METLTask3[[#This Row],[Commander''s Assessment]],Table218[],2,FALSE)*(1-(($I$38:$I$47-1)*(100/MAX($I$38:$I$47)/100)))</f>
        <v>0.01</v>
      </c>
      <c r="L47" s="26"/>
      <c r="M47" s="21"/>
      <c r="N47" s="21"/>
      <c r="O47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47" s="43"/>
    </row>
    <row r="48" spans="5:16" collapsed="1" x14ac:dyDescent="0.3">
      <c r="E48" s="22" t="s">
        <v>16</v>
      </c>
      <c r="F48" s="20">
        <v>5</v>
      </c>
      <c r="G48" s="20" t="s">
        <v>2</v>
      </c>
      <c r="H48" s="35">
        <f>IF(ISBLANK(METLTask3[[#This Row],[CDR''s Weight]]),"",VLOOKUP(METLTask3[[#This Row],[Commander''s Assessment]],Table218[],2,FALSE)*(1-(METLTask3[CDR''s Weight]-1)*(100/MAX(METLTask3[CDR''s Weight])/100)))</f>
        <v>0.3</v>
      </c>
      <c r="I48" s="23"/>
      <c r="J48" s="24">
        <f>IF(ISNUMBER(SEARCH("→",METLTask3[[#This Row],[METL Task 3]])),"",IF(G48=$A$5,$B$5*METLTask3[[#This Row],[CDR''s Weight]],IF(G48=$A$6,$B$6*METLTask3[[#This Row],[CDR''s Weight]],IF(G48=$A$7,$B$7*METLTask3[[#This Row],[CDR''s Weight]]))))</f>
        <v>2.5</v>
      </c>
      <c r="K48" s="25" t="str">
        <f>IF(ISNUMBER(METLTask3[[#This Row],[Total]]),"",VLOOKUP(METLTask3[[#This Row],[Commander''s Assessment]],Table218[],2,FALSE)*(1-(($I$49:$I$58-1)*(100/MAX($I$49:$I$58)/100))))</f>
        <v/>
      </c>
      <c r="L48" s="26">
        <f>SUM(I49:I58)</f>
        <v>55</v>
      </c>
      <c r="M48" s="25">
        <f>SUM(K49:K58)*10</f>
        <v>37.61</v>
      </c>
      <c r="N48" s="25">
        <f>METLTask3[[#This Row],[New SB Total]]/METLTask3[[#This Row],[New SB Weight]]</f>
        <v>0.68381818181818177</v>
      </c>
      <c r="O48" s="2" t="str">
        <f>IF(ISBLANK(METLTask3[[#This Row],[calc]]),"",IF(METLTask3[[#This Row],[calc]]&gt;=0.66,$A$5,IF(AND(METLTask3[[#This Row],[calc]]&lt;0.66,METLTask3[[#This Row],[calc]]&gt;=0.33),$A$6,IF(METLTask3[[#This Row],[calc]]&lt;0.33,"U"))))</f>
        <v>T</v>
      </c>
      <c r="P48" s="43"/>
    </row>
    <row r="49" spans="5:16" hidden="1" outlineLevel="1" x14ac:dyDescent="0.3">
      <c r="E49" s="27" t="s">
        <v>33</v>
      </c>
      <c r="F49" s="33"/>
      <c r="G49" s="20" t="s">
        <v>2</v>
      </c>
      <c r="H49" s="35" t="str">
        <f>IF(ISBLANK(METLTask3[[#This Row],[CDR''s Weight]]),"",VLOOKUP(METLTask3[[#This Row],[Commander''s Assessment]],Table218[],2,FALSE)*(1-(METLTask3[CDR''s Weight]-1)*(100/MAX(METLTask3[CDR''s Weight])/100)))</f>
        <v/>
      </c>
      <c r="I49" s="28">
        <v>2</v>
      </c>
      <c r="J49" s="24" t="str">
        <f>IF(ISNUMBER(SEARCH("→",METLTask3[[#This Row],[METL Task 3]])),"",IF(G49=$A$5,$B$5*METLTask3[[#This Row],[CDR''s Weight]],IF(G49=$A$6,$B$6*METLTask3[[#This Row],[CDR''s Weight]],IF(G49=$A$7,$B$7*METLTask3[[#This Row],[CDR''s Weight]]))))</f>
        <v/>
      </c>
      <c r="K49" s="25">
        <f>VLOOKUP(METLTask3[[#This Row],[Commander''s Assessment]],Table218[],2,FALSE)*(1-(($I$49:$I$58-1)*(100/MAX($I$49:$I$58)/100)))</f>
        <v>0.45</v>
      </c>
      <c r="L49" s="26"/>
      <c r="M49" s="25"/>
      <c r="N49" s="25"/>
      <c r="O49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49" s="43"/>
    </row>
    <row r="50" spans="5:16" hidden="1" outlineLevel="1" x14ac:dyDescent="0.3">
      <c r="E50" s="27" t="s">
        <v>24</v>
      </c>
      <c r="F50" s="33"/>
      <c r="G50" s="20" t="s">
        <v>1</v>
      </c>
      <c r="H50" s="35" t="str">
        <f>IF(ISBLANK(METLTask3[[#This Row],[CDR''s Weight]]),"",VLOOKUP(METLTask3[[#This Row],[Commander''s Assessment]],Table218[],2,FALSE)*(1-(METLTask3[CDR''s Weight]-1)*(100/MAX(METLTask3[CDR''s Weight])/100)))</f>
        <v/>
      </c>
      <c r="I50" s="28">
        <v>3</v>
      </c>
      <c r="J50" s="24" t="str">
        <f>IF(ISNUMBER(SEARCH("→",METLTask3[[#This Row],[METL Task 3]])),"",IF(G50=$A$5,$B$5*METLTask3[[#This Row],[CDR''s Weight]],IF(G50=$A$6,$B$6*METLTask3[[#This Row],[CDR''s Weight]],IF(G50=$A$7,$B$7*METLTask3[[#This Row],[CDR''s Weight]]))))</f>
        <v/>
      </c>
      <c r="K50" s="25">
        <f>VLOOKUP(METLTask3[[#This Row],[Commander''s Assessment]],Table218[],2,FALSE)*(1-(($I$49:$I$58-1)*(100/MAX($I$49:$I$58)/100)))</f>
        <v>0.8</v>
      </c>
      <c r="L50" s="26"/>
      <c r="M50" s="25"/>
      <c r="N50" s="25"/>
      <c r="O50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50" s="43"/>
    </row>
    <row r="51" spans="5:16" hidden="1" outlineLevel="1" x14ac:dyDescent="0.3">
      <c r="E51" s="27" t="s">
        <v>24</v>
      </c>
      <c r="F51" s="31"/>
      <c r="G51" s="20" t="s">
        <v>1</v>
      </c>
      <c r="H51" s="35" t="str">
        <f>IF(ISBLANK(METLTask3[[#This Row],[CDR''s Weight]]),"",VLOOKUP(METLTask3[[#This Row],[Commander''s Assessment]],Table218[],2,FALSE)*(1-(METLTask3[CDR''s Weight]-1)*(100/MAX(METLTask3[CDR''s Weight])/100)))</f>
        <v/>
      </c>
      <c r="I51" s="28">
        <v>4</v>
      </c>
      <c r="J51" s="24" t="str">
        <f>IF(ISNUMBER(SEARCH("→",METLTask3[[#This Row],[METL Task 3]])),"",IF(G51=$A$5,$B$5*METLTask3[[#This Row],[CDR''s Weight]],IF(G51=$A$6,$B$6*METLTask3[[#This Row],[CDR''s Weight]],IF(G51=$A$7,$B$7*METLTask3[[#This Row],[CDR''s Weight]]))))</f>
        <v/>
      </c>
      <c r="K51" s="25">
        <f>VLOOKUP(METLTask3[[#This Row],[Commander''s Assessment]],Table218[],2,FALSE)*(1-(($I$49:$I$58-1)*(100/MAX($I$49:$I$58)/100)))</f>
        <v>0.7</v>
      </c>
      <c r="L51" s="26"/>
      <c r="M51" s="25"/>
      <c r="N51" s="25"/>
      <c r="O51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51" s="43"/>
    </row>
    <row r="52" spans="5:16" hidden="1" outlineLevel="1" x14ac:dyDescent="0.3">
      <c r="E52" s="27" t="s">
        <v>24</v>
      </c>
      <c r="F52" s="33"/>
      <c r="G52" s="20" t="s">
        <v>1</v>
      </c>
      <c r="H52" s="35" t="str">
        <f>IF(ISBLANK(METLTask3[[#This Row],[CDR''s Weight]]),"",VLOOKUP(METLTask3[[#This Row],[Commander''s Assessment]],Table218[],2,FALSE)*(1-(METLTask3[CDR''s Weight]-1)*(100/MAX(METLTask3[CDR''s Weight])/100)))</f>
        <v/>
      </c>
      <c r="I52" s="28">
        <v>5</v>
      </c>
      <c r="J52" s="24" t="str">
        <f>IF(ISNUMBER(SEARCH("→",METLTask3[[#This Row],[METL Task 3]])),"",IF(G52=$A$5,$B$5*METLTask3[[#This Row],[CDR''s Weight]],IF(G52=$A$6,$B$6*METLTask3[[#This Row],[CDR''s Weight]],IF(G52=$A$7,$B$7*METLTask3[[#This Row],[CDR''s Weight]]))))</f>
        <v/>
      </c>
      <c r="K52" s="25">
        <f>VLOOKUP(METLTask3[[#This Row],[Commander''s Assessment]],Table218[],2,FALSE)*(1-(($I$49:$I$58-1)*(100/MAX($I$49:$I$58)/100)))</f>
        <v>0.6</v>
      </c>
      <c r="L52" s="26"/>
      <c r="M52" s="25"/>
      <c r="N52" s="25"/>
      <c r="O52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52" s="43"/>
    </row>
    <row r="53" spans="5:16" hidden="1" outlineLevel="1" x14ac:dyDescent="0.3">
      <c r="E53" s="27" t="s">
        <v>24</v>
      </c>
      <c r="F53" s="33"/>
      <c r="G53" s="20" t="s">
        <v>1</v>
      </c>
      <c r="H53" s="35" t="str">
        <f>IF(ISBLANK(METLTask3[[#This Row],[CDR''s Weight]]),"",VLOOKUP(METLTask3[[#This Row],[Commander''s Assessment]],Table218[],2,FALSE)*(1-(METLTask3[CDR''s Weight]-1)*(100/MAX(METLTask3[CDR''s Weight])/100)))</f>
        <v/>
      </c>
      <c r="I53" s="28">
        <v>6</v>
      </c>
      <c r="J53" s="24" t="str">
        <f>IF(ISNUMBER(SEARCH("→",METLTask3[[#This Row],[METL Task 3]])),"",IF(G53=$A$5,$B$5*METLTask3[[#This Row],[CDR''s Weight]],IF(G53=$A$6,$B$6*METLTask3[[#This Row],[CDR''s Weight]],IF(G53=$A$7,$B$7*METLTask3[[#This Row],[CDR''s Weight]]))))</f>
        <v/>
      </c>
      <c r="K53" s="25">
        <f>VLOOKUP(METLTask3[[#This Row],[Commander''s Assessment]],Table218[],2,FALSE)*(1-(($I$49:$I$58-1)*(100/MAX($I$49:$I$58)/100)))</f>
        <v>0.5</v>
      </c>
      <c r="L53" s="26"/>
      <c r="M53" s="25"/>
      <c r="N53" s="25"/>
      <c r="O53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53" s="43"/>
    </row>
    <row r="54" spans="5:16" hidden="1" outlineLevel="1" x14ac:dyDescent="0.3">
      <c r="E54" s="27" t="s">
        <v>24</v>
      </c>
      <c r="F54" s="33"/>
      <c r="G54" s="20" t="s">
        <v>2</v>
      </c>
      <c r="H54" s="35" t="str">
        <f>IF(ISBLANK(METLTask3[[#This Row],[CDR''s Weight]]),"",VLOOKUP(METLTask3[[#This Row],[Commander''s Assessment]],Table218[],2,FALSE)*(1-(METLTask3[CDR''s Weight]-1)*(100/MAX(METLTask3[CDR''s Weight])/100)))</f>
        <v/>
      </c>
      <c r="I54" s="28">
        <v>7</v>
      </c>
      <c r="J54" s="24" t="str">
        <f>IF(ISNUMBER(SEARCH("→",METLTask3[[#This Row],[METL Task 3]])),"",IF(G54=$A$5,$B$5*METLTask3[[#This Row],[CDR''s Weight]],IF(G54=$A$6,$B$6*METLTask3[[#This Row],[CDR''s Weight]],IF(G54=$A$7,$B$7*METLTask3[[#This Row],[CDR''s Weight]]))))</f>
        <v/>
      </c>
      <c r="K54" s="25">
        <f>VLOOKUP(METLTask3[[#This Row],[Commander''s Assessment]],Table218[],2,FALSE)*(1-(($I$49:$I$58-1)*(100/MAX($I$49:$I$58)/100)))</f>
        <v>0.19999999999999996</v>
      </c>
      <c r="L54" s="26"/>
      <c r="M54" s="25"/>
      <c r="N54" s="25"/>
      <c r="O54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54" s="43"/>
    </row>
    <row r="55" spans="5:16" hidden="1" outlineLevel="1" x14ac:dyDescent="0.3">
      <c r="E55" s="27" t="s">
        <v>24</v>
      </c>
      <c r="F55" s="33"/>
      <c r="G55" s="20" t="s">
        <v>1</v>
      </c>
      <c r="H55" s="35" t="str">
        <f>IF(ISBLANK(METLTask3[[#This Row],[CDR''s Weight]]),"",VLOOKUP(METLTask3[[#This Row],[Commander''s Assessment]],Table218[],2,FALSE)*(1-(METLTask3[CDR''s Weight]-1)*(100/MAX(METLTask3[CDR''s Weight])/100)))</f>
        <v/>
      </c>
      <c r="I55" s="28">
        <v>8</v>
      </c>
      <c r="J55" s="24" t="str">
        <f>IF(ISNUMBER(SEARCH("→",METLTask3[[#This Row],[METL Task 3]])),"",IF(G55=$A$5,$B$5*METLTask3[[#This Row],[CDR''s Weight]],IF(G55=$A$6,$B$6*METLTask3[[#This Row],[CDR''s Weight]],IF(G55=$A$7,$B$7*METLTask3[[#This Row],[CDR''s Weight]]))))</f>
        <v/>
      </c>
      <c r="K55" s="25">
        <f>VLOOKUP(METLTask3[[#This Row],[Commander''s Assessment]],Table218[],2,FALSE)*(1-(($I$49:$I$58-1)*(100/MAX($I$49:$I$58)/100)))</f>
        <v>0.29999999999999993</v>
      </c>
      <c r="L55" s="26"/>
      <c r="M55" s="25"/>
      <c r="N55" s="25"/>
      <c r="O55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55" s="43"/>
    </row>
    <row r="56" spans="5:16" hidden="1" outlineLevel="1" x14ac:dyDescent="0.3">
      <c r="E56" s="27" t="s">
        <v>24</v>
      </c>
      <c r="F56" s="33"/>
      <c r="G56" s="20" t="s">
        <v>1</v>
      </c>
      <c r="H56" s="35" t="str">
        <f>IF(ISBLANK(METLTask3[[#This Row],[CDR''s Weight]]),"",VLOOKUP(METLTask3[[#This Row],[Commander''s Assessment]],Table218[],2,FALSE)*(1-(METLTask3[CDR''s Weight]-1)*(100/MAX(METLTask3[CDR''s Weight])/100)))</f>
        <v/>
      </c>
      <c r="I56" s="28">
        <v>9</v>
      </c>
      <c r="J56" s="24" t="str">
        <f>IF(ISNUMBER(SEARCH("→",METLTask3[[#This Row],[METL Task 3]])),"",IF(G56=$A$5,$B$5*METLTask3[[#This Row],[CDR''s Weight]],IF(G56=$A$6,$B$6*METLTask3[[#This Row],[CDR''s Weight]],IF(G56=$A$7,$B$7*METLTask3[[#This Row],[CDR''s Weight]]))))</f>
        <v/>
      </c>
      <c r="K56" s="25">
        <f>VLOOKUP(METLTask3[[#This Row],[Commander''s Assessment]],Table218[],2,FALSE)*(1-(($I$49:$I$58-1)*(100/MAX($I$49:$I$58)/100)))</f>
        <v>0.19999999999999996</v>
      </c>
      <c r="L56" s="26"/>
      <c r="M56" s="25"/>
      <c r="N56" s="25"/>
      <c r="O56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56" s="43"/>
    </row>
    <row r="57" spans="5:16" hidden="1" outlineLevel="1" x14ac:dyDescent="0.3">
      <c r="E57" s="27" t="s">
        <v>24</v>
      </c>
      <c r="F57" s="33"/>
      <c r="G57" s="20" t="s">
        <v>3</v>
      </c>
      <c r="H57" s="35" t="str">
        <f>IF(ISBLANK(METLTask3[[#This Row],[CDR''s Weight]]),"",VLOOKUP(METLTask3[[#This Row],[Commander''s Assessment]],Table218[],2,FALSE)*(1-(METLTask3[CDR''s Weight]-1)*(100/MAX(METLTask3[CDR''s Weight])/100)))</f>
        <v/>
      </c>
      <c r="I57" s="28">
        <v>10</v>
      </c>
      <c r="J57" s="24" t="str">
        <f>IF(ISNUMBER(SEARCH("→",METLTask3[[#This Row],[METL Task 3]])),"",IF(G57=$A$5,$B$5*METLTask3[[#This Row],[CDR''s Weight]],IF(G57=$A$6,$B$6*METLTask3[[#This Row],[CDR''s Weight]],IF(G57=$A$7,$B$7*METLTask3[[#This Row],[CDR''s Weight]]))))</f>
        <v/>
      </c>
      <c r="K57" s="25">
        <f>VLOOKUP(METLTask3[[#This Row],[Commander''s Assessment]],Table218[],2,FALSE)*(1-(($I$49:$I$58-1)*(100/MAX($I$49:$I$58)/100)))</f>
        <v>9.999999999999998E-4</v>
      </c>
      <c r="L57" s="26"/>
      <c r="M57" s="25"/>
      <c r="N57" s="25"/>
      <c r="O57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57" s="43"/>
    </row>
    <row r="58" spans="5:16" hidden="1" outlineLevel="1" x14ac:dyDescent="0.3">
      <c r="E58" s="27" t="s">
        <v>24</v>
      </c>
      <c r="F58" s="31"/>
      <c r="G58" s="20" t="s">
        <v>3</v>
      </c>
      <c r="H58" s="35" t="str">
        <f>IF(ISBLANK(METLTask3[[#This Row],[CDR''s Weight]]),"",VLOOKUP(METLTask3[[#This Row],[Commander''s Assessment]],Table218[],2,FALSE)*(1-(METLTask3[CDR''s Weight]-1)*(100/MAX(METLTask3[CDR''s Weight])/100)))</f>
        <v/>
      </c>
      <c r="I58" s="29">
        <v>1</v>
      </c>
      <c r="J58" s="24" t="str">
        <f>IF(ISNUMBER(SEARCH("→",METLTask3[[#This Row],[METL Task 3]])),"",IF(G58=$A$5,$B$5*METLTask3[[#This Row],[CDR''s Weight]],IF(G58=$A$6,$B$6*METLTask3[[#This Row],[CDR''s Weight]],IF(G58=$A$7,$B$7*METLTask3[[#This Row],[CDR''s Weight]]))))</f>
        <v/>
      </c>
      <c r="K58" s="25">
        <f>VLOOKUP(METLTask3[[#This Row],[Commander''s Assessment]],Table218[],2,FALSE)*(1-(($I$49:$I$58-1)*(100/MAX($I$49:$I$58)/100)))</f>
        <v>0.01</v>
      </c>
      <c r="L58" s="26"/>
      <c r="M58" s="21"/>
      <c r="N58" s="21"/>
      <c r="O58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58" s="43"/>
    </row>
    <row r="59" spans="5:16" collapsed="1" x14ac:dyDescent="0.3">
      <c r="E59" s="22" t="s">
        <v>16</v>
      </c>
      <c r="F59" s="20">
        <v>6</v>
      </c>
      <c r="G59" s="20" t="s">
        <v>18</v>
      </c>
      <c r="H59" s="35">
        <f>IF(ISBLANK(METLTask3[[#This Row],[CDR''s Weight]]),"",VLOOKUP(METLTask3[[#This Row],[Commander''s Assessment]],Table218[],2,FALSE)*(1-(METLTask3[CDR''s Weight]-1)*(100/MAX(METLTask3[CDR''s Weight])/100)))</f>
        <v>0.5</v>
      </c>
      <c r="I59" s="23"/>
      <c r="J59" s="24">
        <f>IF(ISNUMBER(SEARCH("→",METLTask3[[#This Row],[METL Task 3]])),"",IF(G59=$A$5,$B$5*METLTask3[[#This Row],[CDR''s Weight]],IF(G59=$A$6,$B$6*METLTask3[[#This Row],[CDR''s Weight]],IF(G59=$A$7,$B$7*METLTask3[[#This Row],[CDR''s Weight]]))))</f>
        <v>6</v>
      </c>
      <c r="K59" s="25" t="str">
        <f>IF(ISNUMBER(METLTask3[[#This Row],[Total]]),"",VLOOKUP(METLTask3[[#This Row],[Commander''s Assessment]],Table218[],2,FALSE)*(1-(($I$60:$I$69-1)*(100/MAX($I$60:$I$69)/100))))</f>
        <v/>
      </c>
      <c r="L59" s="26">
        <f>SUM(I60:I69)</f>
        <v>55</v>
      </c>
      <c r="M59" s="25">
        <f>SUM(K60:K69)*10</f>
        <v>37.61</v>
      </c>
      <c r="N59" s="25">
        <f>METLTask3[[#This Row],[New SB Total]]/METLTask3[[#This Row],[New SB Weight]]</f>
        <v>0.68381818181818177</v>
      </c>
      <c r="O59" s="2" t="str">
        <f>IF(ISBLANK(METLTask3[[#This Row],[calc]]),"",IF(METLTask3[[#This Row],[calc]]&gt;=0.66,$A$5,IF(AND(METLTask3[[#This Row],[calc]]&lt;0.66,METLTask3[[#This Row],[calc]]&gt;=0.33),$A$6,IF(METLTask3[[#This Row],[calc]]&lt;0.33,"U"))))</f>
        <v>T</v>
      </c>
      <c r="P59" s="43"/>
    </row>
    <row r="60" spans="5:16" hidden="1" outlineLevel="1" x14ac:dyDescent="0.3">
      <c r="E60" s="27" t="s">
        <v>33</v>
      </c>
      <c r="F60" s="33"/>
      <c r="G60" s="20" t="s">
        <v>2</v>
      </c>
      <c r="H60" s="35" t="str">
        <f>IF(ISBLANK(METLTask3[[#This Row],[CDR''s Weight]]),"",VLOOKUP(METLTask3[[#This Row],[Commander''s Assessment]],Table218[],2,FALSE)*(1-(METLTask3[CDR''s Weight]-1)*(100/MAX(METLTask3[CDR''s Weight])/100)))</f>
        <v/>
      </c>
      <c r="I60" s="28">
        <v>2</v>
      </c>
      <c r="J60" s="24" t="str">
        <f>IF(ISNUMBER(SEARCH("→",METLTask3[[#This Row],[METL Task 3]])),"",IF(G60=$A$5,$B$5*METLTask3[[#This Row],[CDR''s Weight]],IF(G60=$A$6,$B$6*METLTask3[[#This Row],[CDR''s Weight]],IF(G60=$A$7,$B$7*METLTask3[[#This Row],[CDR''s Weight]]))))</f>
        <v/>
      </c>
      <c r="K60" s="25">
        <f>VLOOKUP(METLTask3[[#This Row],[Commander''s Assessment]],Table218[],2,FALSE)*(1-(($I$60:$I$69-1)*(100/MAX($I$60:$I$69)/100)))</f>
        <v>0.45</v>
      </c>
      <c r="L60" s="26"/>
      <c r="M60" s="25"/>
      <c r="N60" s="25"/>
      <c r="O60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60" s="43"/>
    </row>
    <row r="61" spans="5:16" hidden="1" outlineLevel="1" x14ac:dyDescent="0.3">
      <c r="E61" s="27" t="s">
        <v>24</v>
      </c>
      <c r="F61" s="33"/>
      <c r="G61" s="20" t="s">
        <v>1</v>
      </c>
      <c r="H61" s="35" t="str">
        <f>IF(ISBLANK(METLTask3[[#This Row],[CDR''s Weight]]),"",VLOOKUP(METLTask3[[#This Row],[Commander''s Assessment]],Table218[],2,FALSE)*(1-(METLTask3[CDR''s Weight]-1)*(100/MAX(METLTask3[CDR''s Weight])/100)))</f>
        <v/>
      </c>
      <c r="I61" s="28">
        <v>3</v>
      </c>
      <c r="J61" s="24" t="str">
        <f>IF(ISNUMBER(SEARCH("→",METLTask3[[#This Row],[METL Task 3]])),"",IF(G61=$A$5,$B$5*METLTask3[[#This Row],[CDR''s Weight]],IF(G61=$A$6,$B$6*METLTask3[[#This Row],[CDR''s Weight]],IF(G61=$A$7,$B$7*METLTask3[[#This Row],[CDR''s Weight]]))))</f>
        <v/>
      </c>
      <c r="K61" s="25">
        <f>VLOOKUP(METLTask3[[#This Row],[Commander''s Assessment]],Table218[],2,FALSE)*(1-(($I$60:$I$69-1)*(100/MAX($I$60:$I$69)/100)))</f>
        <v>0.8</v>
      </c>
      <c r="L61" s="26"/>
      <c r="M61" s="25"/>
      <c r="N61" s="25"/>
      <c r="O61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61" s="43"/>
    </row>
    <row r="62" spans="5:16" hidden="1" outlineLevel="1" x14ac:dyDescent="0.3">
      <c r="E62" s="27" t="s">
        <v>24</v>
      </c>
      <c r="F62" s="31"/>
      <c r="G62" s="20" t="s">
        <v>1</v>
      </c>
      <c r="H62" s="35" t="str">
        <f>IF(ISBLANK(METLTask3[[#This Row],[CDR''s Weight]]),"",VLOOKUP(METLTask3[[#This Row],[Commander''s Assessment]],Table218[],2,FALSE)*(1-(METLTask3[CDR''s Weight]-1)*(100/MAX(METLTask3[CDR''s Weight])/100)))</f>
        <v/>
      </c>
      <c r="I62" s="28">
        <v>4</v>
      </c>
      <c r="J62" s="24" t="str">
        <f>IF(ISNUMBER(SEARCH("→",METLTask3[[#This Row],[METL Task 3]])),"",IF(G62=$A$5,$B$5*METLTask3[[#This Row],[CDR''s Weight]],IF(G62=$A$6,$B$6*METLTask3[[#This Row],[CDR''s Weight]],IF(G62=$A$7,$B$7*METLTask3[[#This Row],[CDR''s Weight]]))))</f>
        <v/>
      </c>
      <c r="K62" s="25">
        <f>VLOOKUP(METLTask3[[#This Row],[Commander''s Assessment]],Table218[],2,FALSE)*(1-(($I$60:$I$69-1)*(100/MAX($I$60:$I$69)/100)))</f>
        <v>0.7</v>
      </c>
      <c r="L62" s="26"/>
      <c r="M62" s="25"/>
      <c r="N62" s="25"/>
      <c r="O62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62" s="43"/>
    </row>
    <row r="63" spans="5:16" hidden="1" outlineLevel="1" x14ac:dyDescent="0.3">
      <c r="E63" s="27" t="s">
        <v>24</v>
      </c>
      <c r="F63" s="33"/>
      <c r="G63" s="20" t="s">
        <v>1</v>
      </c>
      <c r="H63" s="35" t="str">
        <f>IF(ISBLANK(METLTask3[[#This Row],[CDR''s Weight]]),"",VLOOKUP(METLTask3[[#This Row],[Commander''s Assessment]],Table218[],2,FALSE)*(1-(METLTask3[CDR''s Weight]-1)*(100/MAX(METLTask3[CDR''s Weight])/100)))</f>
        <v/>
      </c>
      <c r="I63" s="28">
        <v>5</v>
      </c>
      <c r="J63" s="24" t="str">
        <f>IF(ISNUMBER(SEARCH("→",METLTask3[[#This Row],[METL Task 3]])),"",IF(G63=$A$5,$B$5*METLTask3[[#This Row],[CDR''s Weight]],IF(G63=$A$6,$B$6*METLTask3[[#This Row],[CDR''s Weight]],IF(G63=$A$7,$B$7*METLTask3[[#This Row],[CDR''s Weight]]))))</f>
        <v/>
      </c>
      <c r="K63" s="25">
        <f>VLOOKUP(METLTask3[[#This Row],[Commander''s Assessment]],Table218[],2,FALSE)*(1-(($I$60:$I$69-1)*(100/MAX($I$60:$I$69)/100)))</f>
        <v>0.6</v>
      </c>
      <c r="L63" s="26"/>
      <c r="M63" s="25"/>
      <c r="N63" s="25"/>
      <c r="O63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63" s="43"/>
    </row>
    <row r="64" spans="5:16" hidden="1" outlineLevel="1" x14ac:dyDescent="0.3">
      <c r="E64" s="27" t="s">
        <v>24</v>
      </c>
      <c r="F64" s="33"/>
      <c r="G64" s="20" t="s">
        <v>1</v>
      </c>
      <c r="H64" s="35" t="str">
        <f>IF(ISBLANK(METLTask3[[#This Row],[CDR''s Weight]]),"",VLOOKUP(METLTask3[[#This Row],[Commander''s Assessment]],Table218[],2,FALSE)*(1-(METLTask3[CDR''s Weight]-1)*(100/MAX(METLTask3[CDR''s Weight])/100)))</f>
        <v/>
      </c>
      <c r="I64" s="28">
        <v>6</v>
      </c>
      <c r="J64" s="24" t="str">
        <f>IF(ISNUMBER(SEARCH("→",METLTask3[[#This Row],[METL Task 3]])),"",IF(G64=$A$5,$B$5*METLTask3[[#This Row],[CDR''s Weight]],IF(G64=$A$6,$B$6*METLTask3[[#This Row],[CDR''s Weight]],IF(G64=$A$7,$B$7*METLTask3[[#This Row],[CDR''s Weight]]))))</f>
        <v/>
      </c>
      <c r="K64" s="25">
        <f>VLOOKUP(METLTask3[[#This Row],[Commander''s Assessment]],Table218[],2,FALSE)*(1-(($I$60:$I$69-1)*(100/MAX($I$60:$I$69)/100)))</f>
        <v>0.5</v>
      </c>
      <c r="L64" s="26"/>
      <c r="M64" s="25"/>
      <c r="N64" s="25"/>
      <c r="O64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64" s="43"/>
    </row>
    <row r="65" spans="5:16" hidden="1" outlineLevel="1" x14ac:dyDescent="0.3">
      <c r="E65" s="27" t="s">
        <v>24</v>
      </c>
      <c r="F65" s="33"/>
      <c r="G65" s="20" t="s">
        <v>2</v>
      </c>
      <c r="H65" s="35" t="str">
        <f>IF(ISBLANK(METLTask3[[#This Row],[CDR''s Weight]]),"",VLOOKUP(METLTask3[[#This Row],[Commander''s Assessment]],Table218[],2,FALSE)*(1-(METLTask3[CDR''s Weight]-1)*(100/MAX(METLTask3[CDR''s Weight])/100)))</f>
        <v/>
      </c>
      <c r="I65" s="28">
        <v>7</v>
      </c>
      <c r="J65" s="24" t="str">
        <f>IF(ISNUMBER(SEARCH("→",METLTask3[[#This Row],[METL Task 3]])),"",IF(G65=$A$5,$B$5*METLTask3[[#This Row],[CDR''s Weight]],IF(G65=$A$6,$B$6*METLTask3[[#This Row],[CDR''s Weight]],IF(G65=$A$7,$B$7*METLTask3[[#This Row],[CDR''s Weight]]))))</f>
        <v/>
      </c>
      <c r="K65" s="25">
        <f>VLOOKUP(METLTask3[[#This Row],[Commander''s Assessment]],Table218[],2,FALSE)*(1-(($I$60:$I$69-1)*(100/MAX($I$60:$I$69)/100)))</f>
        <v>0.19999999999999996</v>
      </c>
      <c r="L65" s="26"/>
      <c r="M65" s="25"/>
      <c r="N65" s="25"/>
      <c r="O65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65" s="43"/>
    </row>
    <row r="66" spans="5:16" hidden="1" outlineLevel="1" x14ac:dyDescent="0.3">
      <c r="E66" s="27" t="s">
        <v>24</v>
      </c>
      <c r="F66" s="33"/>
      <c r="G66" s="20" t="s">
        <v>1</v>
      </c>
      <c r="H66" s="35" t="str">
        <f>IF(ISBLANK(METLTask3[[#This Row],[CDR''s Weight]]),"",VLOOKUP(METLTask3[[#This Row],[Commander''s Assessment]],Table218[],2,FALSE)*(1-(METLTask3[CDR''s Weight]-1)*(100/MAX(METLTask3[CDR''s Weight])/100)))</f>
        <v/>
      </c>
      <c r="I66" s="28">
        <v>8</v>
      </c>
      <c r="J66" s="24" t="str">
        <f>IF(ISNUMBER(SEARCH("→",METLTask3[[#This Row],[METL Task 3]])),"",IF(G66=$A$5,$B$5*METLTask3[[#This Row],[CDR''s Weight]],IF(G66=$A$6,$B$6*METLTask3[[#This Row],[CDR''s Weight]],IF(G66=$A$7,$B$7*METLTask3[[#This Row],[CDR''s Weight]]))))</f>
        <v/>
      </c>
      <c r="K66" s="25">
        <f>VLOOKUP(METLTask3[[#This Row],[Commander''s Assessment]],Table218[],2,FALSE)*(1-(($I$60:$I$69-1)*(100/MAX($I$60:$I$69)/100)))</f>
        <v>0.29999999999999993</v>
      </c>
      <c r="L66" s="26"/>
      <c r="M66" s="25"/>
      <c r="N66" s="25"/>
      <c r="O66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66" s="43"/>
    </row>
    <row r="67" spans="5:16" hidden="1" outlineLevel="1" x14ac:dyDescent="0.3">
      <c r="E67" s="27" t="s">
        <v>24</v>
      </c>
      <c r="F67" s="33"/>
      <c r="G67" s="20" t="s">
        <v>1</v>
      </c>
      <c r="H67" s="35" t="str">
        <f>IF(ISBLANK(METLTask3[[#This Row],[CDR''s Weight]]),"",VLOOKUP(METLTask3[[#This Row],[Commander''s Assessment]],Table218[],2,FALSE)*(1-(METLTask3[CDR''s Weight]-1)*(100/MAX(METLTask3[CDR''s Weight])/100)))</f>
        <v/>
      </c>
      <c r="I67" s="28">
        <v>9</v>
      </c>
      <c r="J67" s="24" t="str">
        <f>IF(ISNUMBER(SEARCH("→",METLTask3[[#This Row],[METL Task 3]])),"",IF(G67=$A$5,$B$5*METLTask3[[#This Row],[CDR''s Weight]],IF(G67=$A$6,$B$6*METLTask3[[#This Row],[CDR''s Weight]],IF(G67=$A$7,$B$7*METLTask3[[#This Row],[CDR''s Weight]]))))</f>
        <v/>
      </c>
      <c r="K67" s="25">
        <f>VLOOKUP(METLTask3[[#This Row],[Commander''s Assessment]],Table218[],2,FALSE)*(1-(($I$60:$I$69-1)*(100/MAX($I$60:$I$69)/100)))</f>
        <v>0.19999999999999996</v>
      </c>
      <c r="L67" s="26"/>
      <c r="M67" s="25"/>
      <c r="N67" s="25"/>
      <c r="O67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67" s="43"/>
    </row>
    <row r="68" spans="5:16" hidden="1" outlineLevel="1" x14ac:dyDescent="0.3">
      <c r="E68" s="27" t="s">
        <v>24</v>
      </c>
      <c r="F68" s="33"/>
      <c r="G68" s="20" t="s">
        <v>3</v>
      </c>
      <c r="H68" s="35" t="str">
        <f>IF(ISBLANK(METLTask3[[#This Row],[CDR''s Weight]]),"",VLOOKUP(METLTask3[[#This Row],[Commander''s Assessment]],Table218[],2,FALSE)*(1-(METLTask3[CDR''s Weight]-1)*(100/MAX(METLTask3[CDR''s Weight])/100)))</f>
        <v/>
      </c>
      <c r="I68" s="28">
        <v>10</v>
      </c>
      <c r="J68" s="24" t="str">
        <f>IF(ISNUMBER(SEARCH("→",METLTask3[[#This Row],[METL Task 3]])),"",IF(G68=$A$5,$B$5*METLTask3[[#This Row],[CDR''s Weight]],IF(G68=$A$6,$B$6*METLTask3[[#This Row],[CDR''s Weight]],IF(G68=$A$7,$B$7*METLTask3[[#This Row],[CDR''s Weight]]))))</f>
        <v/>
      </c>
      <c r="K68" s="25">
        <f>VLOOKUP(METLTask3[[#This Row],[Commander''s Assessment]],Table218[],2,FALSE)*(1-(($I$60:$I$69-1)*(100/MAX($I$60:$I$69)/100)))</f>
        <v>9.999999999999998E-4</v>
      </c>
      <c r="L68" s="26"/>
      <c r="M68" s="25"/>
      <c r="N68" s="25"/>
      <c r="O68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68" s="43"/>
    </row>
    <row r="69" spans="5:16" hidden="1" outlineLevel="1" x14ac:dyDescent="0.3">
      <c r="E69" s="27" t="s">
        <v>24</v>
      </c>
      <c r="F69" s="31"/>
      <c r="G69" s="20" t="s">
        <v>3</v>
      </c>
      <c r="H69" s="35" t="str">
        <f>IF(ISBLANK(METLTask3[[#This Row],[CDR''s Weight]]),"",VLOOKUP(METLTask3[[#This Row],[Commander''s Assessment]],Table218[],2,FALSE)*(1-(METLTask3[CDR''s Weight]-1)*(100/MAX(METLTask3[CDR''s Weight])/100)))</f>
        <v/>
      </c>
      <c r="I69" s="29">
        <v>1</v>
      </c>
      <c r="J69" s="24" t="str">
        <f>IF(ISNUMBER(SEARCH("→",METLTask3[[#This Row],[METL Task 3]])),"",IF(G69=$A$5,$B$5*METLTask3[[#This Row],[CDR''s Weight]],IF(G69=$A$6,$B$6*METLTask3[[#This Row],[CDR''s Weight]],IF(G69=$A$7,$B$7*METLTask3[[#This Row],[CDR''s Weight]]))))</f>
        <v/>
      </c>
      <c r="K69" s="25">
        <f>VLOOKUP(METLTask3[[#This Row],[Commander''s Assessment]],Table218[],2,FALSE)*(1-(($I$60:$I$69-1)*(100/MAX($I$60:$I$69)/100)))</f>
        <v>0.01</v>
      </c>
      <c r="L69" s="26"/>
      <c r="M69" s="21"/>
      <c r="N69" s="21"/>
      <c r="O69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69" s="43"/>
    </row>
    <row r="70" spans="5:16" collapsed="1" x14ac:dyDescent="0.3">
      <c r="E70" s="22" t="s">
        <v>16</v>
      </c>
      <c r="F70" s="20">
        <v>7</v>
      </c>
      <c r="G70" s="20" t="s">
        <v>18</v>
      </c>
      <c r="H70" s="35">
        <f>IF(ISBLANK(METLTask3[[#This Row],[CDR''s Weight]]),"",VLOOKUP(METLTask3[[#This Row],[Commander''s Assessment]],Table218[],2,FALSE)*(1-(METLTask3[CDR''s Weight]-1)*(100/MAX(METLTask3[CDR''s Weight])/100)))</f>
        <v>0.39999999999999991</v>
      </c>
      <c r="I70" s="23"/>
      <c r="J70" s="24">
        <f>IF(ISNUMBER(SEARCH("→",METLTask3[[#This Row],[METL Task 3]])),"",IF(G70=$A$5,$B$5*METLTask3[[#This Row],[CDR''s Weight]],IF(G70=$A$6,$B$6*METLTask3[[#This Row],[CDR''s Weight]],IF(G70=$A$7,$B$7*METLTask3[[#This Row],[CDR''s Weight]]))))</f>
        <v>7</v>
      </c>
      <c r="K70" s="25" t="str">
        <f>IF(ISNUMBER(METLTask3[[#This Row],[Total]]),"",VLOOKUP(METLTask3[[#This Row],[Commander''s Assessment]],Table218[],2,FALSE)*(1-(($I$71:$I$80-1)*(100/MAX($I$71:$I$80)/100))))</f>
        <v/>
      </c>
      <c r="L70" s="26">
        <f>SUM(I71:I80)</f>
        <v>55</v>
      </c>
      <c r="M70" s="25">
        <f>SUM(K71:K80)*10</f>
        <v>37.61</v>
      </c>
      <c r="N70" s="25">
        <f>METLTask3[[#This Row],[New SB Total]]/METLTask3[[#This Row],[New SB Weight]]</f>
        <v>0.68381818181818177</v>
      </c>
      <c r="O70" s="2" t="str">
        <f>IF(ISBLANK(METLTask3[[#This Row],[calc]]),"",IF(METLTask3[[#This Row],[calc]]&gt;=0.66,$A$5,IF(AND(METLTask3[[#This Row],[calc]]&lt;0.66,METLTask3[[#This Row],[calc]]&gt;=0.33),$A$6,IF(METLTask3[[#This Row],[calc]]&lt;0.33,"U"))))</f>
        <v>T</v>
      </c>
      <c r="P70" s="43"/>
    </row>
    <row r="71" spans="5:16" hidden="1" outlineLevel="1" x14ac:dyDescent="0.3">
      <c r="E71" s="27" t="s">
        <v>33</v>
      </c>
      <c r="F71" s="33"/>
      <c r="G71" s="20" t="s">
        <v>2</v>
      </c>
      <c r="H71" s="35" t="str">
        <f>IF(ISBLANK(METLTask3[[#This Row],[CDR''s Weight]]),"",VLOOKUP(METLTask3[[#This Row],[Commander''s Assessment]],Table218[],2,FALSE)*(1-(METLTask3[CDR''s Weight]-1)*(100/MAX(METLTask3[CDR''s Weight])/100)))</f>
        <v/>
      </c>
      <c r="I71" s="28">
        <v>2</v>
      </c>
      <c r="J71" s="24" t="str">
        <f>IF(ISNUMBER(SEARCH("→",METLTask3[[#This Row],[METL Task 3]])),"",IF(G71=$A$5,$B$5*METLTask3[[#This Row],[CDR''s Weight]],IF(G71=$A$6,$B$6*METLTask3[[#This Row],[CDR''s Weight]],IF(G71=$A$7,$B$7*METLTask3[[#This Row],[CDR''s Weight]]))))</f>
        <v/>
      </c>
      <c r="K71" s="25">
        <f>VLOOKUP(METLTask3[[#This Row],[Commander''s Assessment]],Table218[],2,FALSE)*(1-(($I$71:$I$80-1)*(100/MAX($I$71:$I$80)/100)))</f>
        <v>0.45</v>
      </c>
      <c r="L71" s="26"/>
      <c r="M71" s="25"/>
      <c r="N71" s="25"/>
      <c r="O71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71" s="43"/>
    </row>
    <row r="72" spans="5:16" hidden="1" outlineLevel="1" x14ac:dyDescent="0.3">
      <c r="E72" s="27" t="s">
        <v>24</v>
      </c>
      <c r="F72" s="33"/>
      <c r="G72" s="20" t="s">
        <v>1</v>
      </c>
      <c r="H72" s="35" t="str">
        <f>IF(ISBLANK(METLTask3[[#This Row],[CDR''s Weight]]),"",VLOOKUP(METLTask3[[#This Row],[Commander''s Assessment]],Table218[],2,FALSE)*(1-(METLTask3[CDR''s Weight]-1)*(100/MAX(METLTask3[CDR''s Weight])/100)))</f>
        <v/>
      </c>
      <c r="I72" s="28">
        <v>3</v>
      </c>
      <c r="J72" s="24" t="str">
        <f>IF(ISNUMBER(SEARCH("→",METLTask3[[#This Row],[METL Task 3]])),"",IF(G72=$A$5,$B$5*METLTask3[[#This Row],[CDR''s Weight]],IF(G72=$A$6,$B$6*METLTask3[[#This Row],[CDR''s Weight]],IF(G72=$A$7,$B$7*METLTask3[[#This Row],[CDR''s Weight]]))))</f>
        <v/>
      </c>
      <c r="K72" s="25">
        <f>VLOOKUP(METLTask3[[#This Row],[Commander''s Assessment]],Table218[],2,FALSE)*(1-(($I$71:$I$80-1)*(100/MAX($I$71:$I$80)/100)))</f>
        <v>0.8</v>
      </c>
      <c r="L72" s="26"/>
      <c r="M72" s="25"/>
      <c r="N72" s="25"/>
      <c r="O72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72" s="43"/>
    </row>
    <row r="73" spans="5:16" hidden="1" outlineLevel="1" x14ac:dyDescent="0.3">
      <c r="E73" s="27" t="s">
        <v>24</v>
      </c>
      <c r="F73" s="31"/>
      <c r="G73" s="20" t="s">
        <v>1</v>
      </c>
      <c r="H73" s="35" t="str">
        <f>IF(ISBLANK(METLTask3[[#This Row],[CDR''s Weight]]),"",VLOOKUP(METLTask3[[#This Row],[Commander''s Assessment]],Table218[],2,FALSE)*(1-(METLTask3[CDR''s Weight]-1)*(100/MAX(METLTask3[CDR''s Weight])/100)))</f>
        <v/>
      </c>
      <c r="I73" s="28">
        <v>4</v>
      </c>
      <c r="J73" s="24" t="str">
        <f>IF(ISNUMBER(SEARCH("→",METLTask3[[#This Row],[METL Task 3]])),"",IF(G73=$A$5,$B$5*METLTask3[[#This Row],[CDR''s Weight]],IF(G73=$A$6,$B$6*METLTask3[[#This Row],[CDR''s Weight]],IF(G73=$A$7,$B$7*METLTask3[[#This Row],[CDR''s Weight]]))))</f>
        <v/>
      </c>
      <c r="K73" s="25">
        <f>VLOOKUP(METLTask3[[#This Row],[Commander''s Assessment]],Table218[],2,FALSE)*(1-(($I$71:$I$80-1)*(100/MAX($I$71:$I$80)/100)))</f>
        <v>0.7</v>
      </c>
      <c r="L73" s="26"/>
      <c r="M73" s="25"/>
      <c r="N73" s="25"/>
      <c r="O73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73" s="43"/>
    </row>
    <row r="74" spans="5:16" hidden="1" outlineLevel="1" x14ac:dyDescent="0.3">
      <c r="E74" s="27" t="s">
        <v>24</v>
      </c>
      <c r="F74" s="33"/>
      <c r="G74" s="20" t="s">
        <v>1</v>
      </c>
      <c r="H74" s="35" t="str">
        <f>IF(ISBLANK(METLTask3[[#This Row],[CDR''s Weight]]),"",VLOOKUP(METLTask3[[#This Row],[Commander''s Assessment]],Table218[],2,FALSE)*(1-(METLTask3[CDR''s Weight]-1)*(100/MAX(METLTask3[CDR''s Weight])/100)))</f>
        <v/>
      </c>
      <c r="I74" s="28">
        <v>5</v>
      </c>
      <c r="J74" s="24" t="str">
        <f>IF(ISNUMBER(SEARCH("→",METLTask3[[#This Row],[METL Task 3]])),"",IF(G74=$A$5,$B$5*METLTask3[[#This Row],[CDR''s Weight]],IF(G74=$A$6,$B$6*METLTask3[[#This Row],[CDR''s Weight]],IF(G74=$A$7,$B$7*METLTask3[[#This Row],[CDR''s Weight]]))))</f>
        <v/>
      </c>
      <c r="K74" s="25">
        <f>VLOOKUP(METLTask3[[#This Row],[Commander''s Assessment]],Table218[],2,FALSE)*(1-(($I$71:$I$80-1)*(100/MAX($I$71:$I$80)/100)))</f>
        <v>0.6</v>
      </c>
      <c r="L74" s="26"/>
      <c r="M74" s="25"/>
      <c r="N74" s="25"/>
      <c r="O74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74" s="43"/>
    </row>
    <row r="75" spans="5:16" hidden="1" outlineLevel="1" x14ac:dyDescent="0.3">
      <c r="E75" s="27" t="s">
        <v>24</v>
      </c>
      <c r="F75" s="33"/>
      <c r="G75" s="20" t="s">
        <v>1</v>
      </c>
      <c r="H75" s="35" t="str">
        <f>IF(ISBLANK(METLTask3[[#This Row],[CDR''s Weight]]),"",VLOOKUP(METLTask3[[#This Row],[Commander''s Assessment]],Table218[],2,FALSE)*(1-(METLTask3[CDR''s Weight]-1)*(100/MAX(METLTask3[CDR''s Weight])/100)))</f>
        <v/>
      </c>
      <c r="I75" s="28">
        <v>6</v>
      </c>
      <c r="J75" s="24" t="str">
        <f>IF(ISNUMBER(SEARCH("→",METLTask3[[#This Row],[METL Task 3]])),"",IF(G75=$A$5,$B$5*METLTask3[[#This Row],[CDR''s Weight]],IF(G75=$A$6,$B$6*METLTask3[[#This Row],[CDR''s Weight]],IF(G75=$A$7,$B$7*METLTask3[[#This Row],[CDR''s Weight]]))))</f>
        <v/>
      </c>
      <c r="K75" s="25">
        <f>VLOOKUP(METLTask3[[#This Row],[Commander''s Assessment]],Table218[],2,FALSE)*(1-(($I$71:$I$80-1)*(100/MAX($I$71:$I$80)/100)))</f>
        <v>0.5</v>
      </c>
      <c r="L75" s="26"/>
      <c r="M75" s="25"/>
      <c r="N75" s="25"/>
      <c r="O75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75" s="43"/>
    </row>
    <row r="76" spans="5:16" hidden="1" outlineLevel="1" x14ac:dyDescent="0.3">
      <c r="E76" s="27" t="s">
        <v>24</v>
      </c>
      <c r="F76" s="33"/>
      <c r="G76" s="20" t="s">
        <v>2</v>
      </c>
      <c r="H76" s="35" t="str">
        <f>IF(ISBLANK(METLTask3[[#This Row],[CDR''s Weight]]),"",VLOOKUP(METLTask3[[#This Row],[Commander''s Assessment]],Table218[],2,FALSE)*(1-(METLTask3[CDR''s Weight]-1)*(100/MAX(METLTask3[CDR''s Weight])/100)))</f>
        <v/>
      </c>
      <c r="I76" s="28">
        <v>7</v>
      </c>
      <c r="J76" s="24" t="str">
        <f>IF(ISNUMBER(SEARCH("→",METLTask3[[#This Row],[METL Task 3]])),"",IF(G76=$A$5,$B$5*METLTask3[[#This Row],[CDR''s Weight]],IF(G76=$A$6,$B$6*METLTask3[[#This Row],[CDR''s Weight]],IF(G76=$A$7,$B$7*METLTask3[[#This Row],[CDR''s Weight]]))))</f>
        <v/>
      </c>
      <c r="K76" s="25">
        <f>VLOOKUP(METLTask3[[#This Row],[Commander''s Assessment]],Table218[],2,FALSE)*(1-(($I$71:$I$80-1)*(100/MAX($I$71:$I$80)/100)))</f>
        <v>0.19999999999999996</v>
      </c>
      <c r="L76" s="26"/>
      <c r="M76" s="25"/>
      <c r="N76" s="25"/>
      <c r="O76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76" s="43"/>
    </row>
    <row r="77" spans="5:16" hidden="1" outlineLevel="1" x14ac:dyDescent="0.3">
      <c r="E77" s="27" t="s">
        <v>24</v>
      </c>
      <c r="F77" s="33"/>
      <c r="G77" s="20" t="s">
        <v>1</v>
      </c>
      <c r="H77" s="35" t="str">
        <f>IF(ISBLANK(METLTask3[[#This Row],[CDR''s Weight]]),"",VLOOKUP(METLTask3[[#This Row],[Commander''s Assessment]],Table218[],2,FALSE)*(1-(METLTask3[CDR''s Weight]-1)*(100/MAX(METLTask3[CDR''s Weight])/100)))</f>
        <v/>
      </c>
      <c r="I77" s="28">
        <v>8</v>
      </c>
      <c r="J77" s="24" t="str">
        <f>IF(ISNUMBER(SEARCH("→",METLTask3[[#This Row],[METL Task 3]])),"",IF(G77=$A$5,$B$5*METLTask3[[#This Row],[CDR''s Weight]],IF(G77=$A$6,$B$6*METLTask3[[#This Row],[CDR''s Weight]],IF(G77=$A$7,$B$7*METLTask3[[#This Row],[CDR''s Weight]]))))</f>
        <v/>
      </c>
      <c r="K77" s="25">
        <f>VLOOKUP(METLTask3[[#This Row],[Commander''s Assessment]],Table218[],2,FALSE)*(1-(($I$71:$I$80-1)*(100/MAX($I$71:$I$80)/100)))</f>
        <v>0.29999999999999993</v>
      </c>
      <c r="L77" s="26"/>
      <c r="M77" s="25"/>
      <c r="N77" s="25"/>
      <c r="O77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77" s="43"/>
    </row>
    <row r="78" spans="5:16" hidden="1" outlineLevel="1" x14ac:dyDescent="0.3">
      <c r="E78" s="27" t="s">
        <v>24</v>
      </c>
      <c r="F78" s="33"/>
      <c r="G78" s="20" t="s">
        <v>1</v>
      </c>
      <c r="H78" s="35" t="str">
        <f>IF(ISBLANK(METLTask3[[#This Row],[CDR''s Weight]]),"",VLOOKUP(METLTask3[[#This Row],[Commander''s Assessment]],Table218[],2,FALSE)*(1-(METLTask3[CDR''s Weight]-1)*(100/MAX(METLTask3[CDR''s Weight])/100)))</f>
        <v/>
      </c>
      <c r="I78" s="28">
        <v>9</v>
      </c>
      <c r="J78" s="24" t="str">
        <f>IF(ISNUMBER(SEARCH("→",METLTask3[[#This Row],[METL Task 3]])),"",IF(G78=$A$5,$B$5*METLTask3[[#This Row],[CDR''s Weight]],IF(G78=$A$6,$B$6*METLTask3[[#This Row],[CDR''s Weight]],IF(G78=$A$7,$B$7*METLTask3[[#This Row],[CDR''s Weight]]))))</f>
        <v/>
      </c>
      <c r="K78" s="25">
        <f>VLOOKUP(METLTask3[[#This Row],[Commander''s Assessment]],Table218[],2,FALSE)*(1-(($I$71:$I$80-1)*(100/MAX($I$71:$I$80)/100)))</f>
        <v>0.19999999999999996</v>
      </c>
      <c r="L78" s="26"/>
      <c r="M78" s="25"/>
      <c r="N78" s="25"/>
      <c r="O78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78" s="43"/>
    </row>
    <row r="79" spans="5:16" hidden="1" outlineLevel="1" x14ac:dyDescent="0.3">
      <c r="E79" s="27" t="s">
        <v>24</v>
      </c>
      <c r="F79" s="33"/>
      <c r="G79" s="20" t="s">
        <v>3</v>
      </c>
      <c r="H79" s="35" t="str">
        <f>IF(ISBLANK(METLTask3[[#This Row],[CDR''s Weight]]),"",VLOOKUP(METLTask3[[#This Row],[Commander''s Assessment]],Table218[],2,FALSE)*(1-(METLTask3[CDR''s Weight]-1)*(100/MAX(METLTask3[CDR''s Weight])/100)))</f>
        <v/>
      </c>
      <c r="I79" s="28">
        <v>10</v>
      </c>
      <c r="J79" s="24" t="str">
        <f>IF(ISNUMBER(SEARCH("→",METLTask3[[#This Row],[METL Task 3]])),"",IF(G79=$A$5,$B$5*METLTask3[[#This Row],[CDR''s Weight]],IF(G79=$A$6,$B$6*METLTask3[[#This Row],[CDR''s Weight]],IF(G79=$A$7,$B$7*METLTask3[[#This Row],[CDR''s Weight]]))))</f>
        <v/>
      </c>
      <c r="K79" s="25">
        <f>VLOOKUP(METLTask3[[#This Row],[Commander''s Assessment]],Table218[],2,FALSE)*(1-(($I$71:$I$80-1)*(100/MAX($I$71:$I$80)/100)))</f>
        <v>9.999999999999998E-4</v>
      </c>
      <c r="L79" s="26"/>
      <c r="M79" s="25"/>
      <c r="N79" s="25"/>
      <c r="O79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79" s="43"/>
    </row>
    <row r="80" spans="5:16" hidden="1" outlineLevel="1" x14ac:dyDescent="0.3">
      <c r="E80" s="27" t="s">
        <v>24</v>
      </c>
      <c r="F80" s="31"/>
      <c r="G80" s="20" t="s">
        <v>3</v>
      </c>
      <c r="H80" s="35" t="str">
        <f>IF(ISBLANK(METLTask3[[#This Row],[CDR''s Weight]]),"",VLOOKUP(METLTask3[[#This Row],[Commander''s Assessment]],Table218[],2,FALSE)*(1-(METLTask3[CDR''s Weight]-1)*(100/MAX(METLTask3[CDR''s Weight])/100)))</f>
        <v/>
      </c>
      <c r="I80" s="29">
        <v>1</v>
      </c>
      <c r="J80" s="24" t="str">
        <f>IF(ISNUMBER(SEARCH("→",METLTask3[[#This Row],[METL Task 3]])),"",IF(G80=$A$5,$B$5*METLTask3[[#This Row],[CDR''s Weight]],IF(G80=$A$6,$B$6*METLTask3[[#This Row],[CDR''s Weight]],IF(G80=$A$7,$B$7*METLTask3[[#This Row],[CDR''s Weight]]))))</f>
        <v/>
      </c>
      <c r="K80" s="25">
        <f>VLOOKUP(METLTask3[[#This Row],[Commander''s Assessment]],Table218[],2,FALSE)*(1-(($I$71:$I$80-1)*(100/MAX($I$71:$I$80)/100)))</f>
        <v>0.01</v>
      </c>
      <c r="L80" s="26"/>
      <c r="M80" s="21"/>
      <c r="N80" s="21"/>
      <c r="O80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80" s="43"/>
    </row>
    <row r="81" spans="5:16" collapsed="1" x14ac:dyDescent="0.3">
      <c r="E81" s="22" t="s">
        <v>16</v>
      </c>
      <c r="F81" s="20">
        <v>8</v>
      </c>
      <c r="G81" s="20" t="s">
        <v>18</v>
      </c>
      <c r="H81" s="35">
        <f>IF(ISBLANK(METLTask3[[#This Row],[CDR''s Weight]]),"",VLOOKUP(METLTask3[[#This Row],[Commander''s Assessment]],Table218[],2,FALSE)*(1-(METLTask3[CDR''s Weight]-1)*(100/MAX(METLTask3[CDR''s Weight])/100)))</f>
        <v>0.29999999999999993</v>
      </c>
      <c r="I81" s="23"/>
      <c r="J81" s="24">
        <f>IF(ISNUMBER(SEARCH("→",METLTask3[[#This Row],[METL Task 3]])),"",IF(G81=$A$5,$B$5*METLTask3[[#This Row],[CDR''s Weight]],IF(G81=$A$6,$B$6*METLTask3[[#This Row],[CDR''s Weight]],IF(G81=$A$7,$B$7*METLTask3[[#This Row],[CDR''s Weight]]))))</f>
        <v>8</v>
      </c>
      <c r="K81" s="25" t="str">
        <f>IF(ISNUMBER(METLTask3[[#This Row],[Total]]),"",VLOOKUP(METLTask3[[#This Row],[Commander''s Assessment]],Table218[],2,FALSE)*(1-(($I$82:$I$91-1)*(100/MAX($I$82:$I$91)/100))))</f>
        <v/>
      </c>
      <c r="L81" s="26">
        <f>SUM(I82:I91)</f>
        <v>55</v>
      </c>
      <c r="M81" s="25">
        <f>SUM(K82:K91)*10</f>
        <v>37.61</v>
      </c>
      <c r="N81" s="25">
        <f>METLTask3[[#This Row],[New SB Total]]/METLTask3[[#This Row],[New SB Weight]]</f>
        <v>0.68381818181818177</v>
      </c>
      <c r="O81" s="2" t="str">
        <f>IF(ISBLANK(METLTask3[[#This Row],[calc]]),"",IF(METLTask3[[#This Row],[calc]]&gt;=0.66,$A$5,IF(AND(METLTask3[[#This Row],[calc]]&lt;0.66,METLTask3[[#This Row],[calc]]&gt;=0.33),$A$6,IF(METLTask3[[#This Row],[calc]]&lt;0.33,"U"))))</f>
        <v>T</v>
      </c>
      <c r="P81" s="43"/>
    </row>
    <row r="82" spans="5:16" hidden="1" outlineLevel="1" x14ac:dyDescent="0.3">
      <c r="E82" s="27" t="s">
        <v>33</v>
      </c>
      <c r="F82" s="33"/>
      <c r="G82" s="20" t="s">
        <v>2</v>
      </c>
      <c r="H82" s="35" t="str">
        <f>IF(ISBLANK(METLTask3[[#This Row],[CDR''s Weight]]),"",VLOOKUP(METLTask3[[#This Row],[Commander''s Assessment]],Table218[],2,FALSE)*(1-(METLTask3[CDR''s Weight]-1)*(100/MAX(METLTask3[CDR''s Weight])/100)))</f>
        <v/>
      </c>
      <c r="I82" s="28">
        <v>2</v>
      </c>
      <c r="J82" s="24" t="str">
        <f>IF(ISNUMBER(SEARCH("→",METLTask3[[#This Row],[METL Task 3]])),"",IF(G82=$A$5,$B$5*METLTask3[[#This Row],[CDR''s Weight]],IF(G82=$A$6,$B$6*METLTask3[[#This Row],[CDR''s Weight]],IF(G82=$A$7,$B$7*METLTask3[[#This Row],[CDR''s Weight]]))))</f>
        <v/>
      </c>
      <c r="K82" s="25">
        <f>VLOOKUP(METLTask3[[#This Row],[Commander''s Assessment]],Table218[],2,FALSE)*(1-(($I$82:$I$91-1)*(100/MAX($I$82:$I$91)/100)))</f>
        <v>0.45</v>
      </c>
      <c r="L82" s="26"/>
      <c r="M82" s="25"/>
      <c r="N82" s="25"/>
      <c r="O82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82" s="43"/>
    </row>
    <row r="83" spans="5:16" hidden="1" outlineLevel="1" x14ac:dyDescent="0.3">
      <c r="E83" s="27" t="s">
        <v>24</v>
      </c>
      <c r="F83" s="33"/>
      <c r="G83" s="20" t="s">
        <v>1</v>
      </c>
      <c r="H83" s="35" t="str">
        <f>IF(ISBLANK(METLTask3[[#This Row],[CDR''s Weight]]),"",VLOOKUP(METLTask3[[#This Row],[Commander''s Assessment]],Table218[],2,FALSE)*(1-(METLTask3[CDR''s Weight]-1)*(100/MAX(METLTask3[CDR''s Weight])/100)))</f>
        <v/>
      </c>
      <c r="I83" s="28">
        <v>3</v>
      </c>
      <c r="J83" s="24" t="str">
        <f>IF(ISNUMBER(SEARCH("→",METLTask3[[#This Row],[METL Task 3]])),"",IF(G83=$A$5,$B$5*METLTask3[[#This Row],[CDR''s Weight]],IF(G83=$A$6,$B$6*METLTask3[[#This Row],[CDR''s Weight]],IF(G83=$A$7,$B$7*METLTask3[[#This Row],[CDR''s Weight]]))))</f>
        <v/>
      </c>
      <c r="K83" s="25">
        <f>VLOOKUP(METLTask3[[#This Row],[Commander''s Assessment]],Table218[],2,FALSE)*(1-(($I$82:$I$91-1)*(100/MAX($I$82:$I$91)/100)))</f>
        <v>0.8</v>
      </c>
      <c r="L83" s="26"/>
      <c r="M83" s="25"/>
      <c r="N83" s="25"/>
      <c r="O83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83" s="43"/>
    </row>
    <row r="84" spans="5:16" hidden="1" outlineLevel="1" x14ac:dyDescent="0.3">
      <c r="E84" s="27" t="s">
        <v>24</v>
      </c>
      <c r="F84" s="31"/>
      <c r="G84" s="20" t="s">
        <v>1</v>
      </c>
      <c r="H84" s="35" t="str">
        <f>IF(ISBLANK(METLTask3[[#This Row],[CDR''s Weight]]),"",VLOOKUP(METLTask3[[#This Row],[Commander''s Assessment]],Table218[],2,FALSE)*(1-(METLTask3[CDR''s Weight]-1)*(100/MAX(METLTask3[CDR''s Weight])/100)))</f>
        <v/>
      </c>
      <c r="I84" s="28">
        <v>4</v>
      </c>
      <c r="J84" s="24" t="str">
        <f>IF(ISNUMBER(SEARCH("→",METLTask3[[#This Row],[METL Task 3]])),"",IF(G84=$A$5,$B$5*METLTask3[[#This Row],[CDR''s Weight]],IF(G84=$A$6,$B$6*METLTask3[[#This Row],[CDR''s Weight]],IF(G84=$A$7,$B$7*METLTask3[[#This Row],[CDR''s Weight]]))))</f>
        <v/>
      </c>
      <c r="K84" s="25">
        <f>VLOOKUP(METLTask3[[#This Row],[Commander''s Assessment]],Table218[],2,FALSE)*(1-(($I$82:$I$91-1)*(100/MAX($I$82:$I$91)/100)))</f>
        <v>0.7</v>
      </c>
      <c r="L84" s="26"/>
      <c r="M84" s="25"/>
      <c r="N84" s="25"/>
      <c r="O84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84" s="43"/>
    </row>
    <row r="85" spans="5:16" hidden="1" outlineLevel="1" x14ac:dyDescent="0.3">
      <c r="E85" s="27" t="s">
        <v>24</v>
      </c>
      <c r="F85" s="33"/>
      <c r="G85" s="20" t="s">
        <v>1</v>
      </c>
      <c r="H85" s="35" t="str">
        <f>IF(ISBLANK(METLTask3[[#This Row],[CDR''s Weight]]),"",VLOOKUP(METLTask3[[#This Row],[Commander''s Assessment]],Table218[],2,FALSE)*(1-(METLTask3[CDR''s Weight]-1)*(100/MAX(METLTask3[CDR''s Weight])/100)))</f>
        <v/>
      </c>
      <c r="I85" s="28">
        <v>5</v>
      </c>
      <c r="J85" s="24" t="str">
        <f>IF(ISNUMBER(SEARCH("→",METLTask3[[#This Row],[METL Task 3]])),"",IF(G85=$A$5,$B$5*METLTask3[[#This Row],[CDR''s Weight]],IF(G85=$A$6,$B$6*METLTask3[[#This Row],[CDR''s Weight]],IF(G85=$A$7,$B$7*METLTask3[[#This Row],[CDR''s Weight]]))))</f>
        <v/>
      </c>
      <c r="K85" s="25">
        <f>VLOOKUP(METLTask3[[#This Row],[Commander''s Assessment]],Table218[],2,FALSE)*(1-(($I$82:$I$91-1)*(100/MAX($I$82:$I$91)/100)))</f>
        <v>0.6</v>
      </c>
      <c r="L85" s="26"/>
      <c r="M85" s="25"/>
      <c r="N85" s="25"/>
      <c r="O85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85" s="43"/>
    </row>
    <row r="86" spans="5:16" hidden="1" outlineLevel="1" x14ac:dyDescent="0.3">
      <c r="E86" s="27" t="s">
        <v>24</v>
      </c>
      <c r="F86" s="33"/>
      <c r="G86" s="20" t="s">
        <v>1</v>
      </c>
      <c r="H86" s="35" t="str">
        <f>IF(ISBLANK(METLTask3[[#This Row],[CDR''s Weight]]),"",VLOOKUP(METLTask3[[#This Row],[Commander''s Assessment]],Table218[],2,FALSE)*(1-(METLTask3[CDR''s Weight]-1)*(100/MAX(METLTask3[CDR''s Weight])/100)))</f>
        <v/>
      </c>
      <c r="I86" s="28">
        <v>6</v>
      </c>
      <c r="J86" s="24" t="str">
        <f>IF(ISNUMBER(SEARCH("→",METLTask3[[#This Row],[METL Task 3]])),"",IF(G86=$A$5,$B$5*METLTask3[[#This Row],[CDR''s Weight]],IF(G86=$A$6,$B$6*METLTask3[[#This Row],[CDR''s Weight]],IF(G86=$A$7,$B$7*METLTask3[[#This Row],[CDR''s Weight]]))))</f>
        <v/>
      </c>
      <c r="K86" s="25">
        <f>VLOOKUP(METLTask3[[#This Row],[Commander''s Assessment]],Table218[],2,FALSE)*(1-(($I$82:$I$91-1)*(100/MAX($I$82:$I$91)/100)))</f>
        <v>0.5</v>
      </c>
      <c r="L86" s="26"/>
      <c r="M86" s="25"/>
      <c r="N86" s="25"/>
      <c r="O86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86" s="43"/>
    </row>
    <row r="87" spans="5:16" hidden="1" outlineLevel="1" x14ac:dyDescent="0.3">
      <c r="E87" s="27" t="s">
        <v>24</v>
      </c>
      <c r="F87" s="33"/>
      <c r="G87" s="20" t="s">
        <v>2</v>
      </c>
      <c r="H87" s="35" t="str">
        <f>IF(ISBLANK(METLTask3[[#This Row],[CDR''s Weight]]),"",VLOOKUP(METLTask3[[#This Row],[Commander''s Assessment]],Table218[],2,FALSE)*(1-(METLTask3[CDR''s Weight]-1)*(100/MAX(METLTask3[CDR''s Weight])/100)))</f>
        <v/>
      </c>
      <c r="I87" s="28">
        <v>7</v>
      </c>
      <c r="J87" s="24" t="str">
        <f>IF(ISNUMBER(SEARCH("→",METLTask3[[#This Row],[METL Task 3]])),"",IF(G87=$A$5,$B$5*METLTask3[[#This Row],[CDR''s Weight]],IF(G87=$A$6,$B$6*METLTask3[[#This Row],[CDR''s Weight]],IF(G87=$A$7,$B$7*METLTask3[[#This Row],[CDR''s Weight]]))))</f>
        <v/>
      </c>
      <c r="K87" s="25">
        <f>VLOOKUP(METLTask3[[#This Row],[Commander''s Assessment]],Table218[],2,FALSE)*(1-(($I$82:$I$91-1)*(100/MAX($I$82:$I$91)/100)))</f>
        <v>0.19999999999999996</v>
      </c>
      <c r="L87" s="26"/>
      <c r="M87" s="25"/>
      <c r="N87" s="25"/>
      <c r="O87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87" s="43"/>
    </row>
    <row r="88" spans="5:16" hidden="1" outlineLevel="1" x14ac:dyDescent="0.3">
      <c r="E88" s="27" t="s">
        <v>24</v>
      </c>
      <c r="F88" s="33"/>
      <c r="G88" s="20" t="s">
        <v>1</v>
      </c>
      <c r="H88" s="35" t="str">
        <f>IF(ISBLANK(METLTask3[[#This Row],[CDR''s Weight]]),"",VLOOKUP(METLTask3[[#This Row],[Commander''s Assessment]],Table218[],2,FALSE)*(1-(METLTask3[CDR''s Weight]-1)*(100/MAX(METLTask3[CDR''s Weight])/100)))</f>
        <v/>
      </c>
      <c r="I88" s="28">
        <v>8</v>
      </c>
      <c r="J88" s="24" t="str">
        <f>IF(ISNUMBER(SEARCH("→",METLTask3[[#This Row],[METL Task 3]])),"",IF(G88=$A$5,$B$5*METLTask3[[#This Row],[CDR''s Weight]],IF(G88=$A$6,$B$6*METLTask3[[#This Row],[CDR''s Weight]],IF(G88=$A$7,$B$7*METLTask3[[#This Row],[CDR''s Weight]]))))</f>
        <v/>
      </c>
      <c r="K88" s="25">
        <f>VLOOKUP(METLTask3[[#This Row],[Commander''s Assessment]],Table218[],2,FALSE)*(1-(($I$82:$I$91-1)*(100/MAX($I$82:$I$91)/100)))</f>
        <v>0.29999999999999993</v>
      </c>
      <c r="L88" s="26"/>
      <c r="M88" s="25"/>
      <c r="N88" s="25"/>
      <c r="O88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88" s="43"/>
    </row>
    <row r="89" spans="5:16" hidden="1" outlineLevel="1" x14ac:dyDescent="0.3">
      <c r="E89" s="27" t="s">
        <v>24</v>
      </c>
      <c r="F89" s="33"/>
      <c r="G89" s="20" t="s">
        <v>1</v>
      </c>
      <c r="H89" s="35" t="str">
        <f>IF(ISBLANK(METLTask3[[#This Row],[CDR''s Weight]]),"",VLOOKUP(METLTask3[[#This Row],[Commander''s Assessment]],Table218[],2,FALSE)*(1-(METLTask3[CDR''s Weight]-1)*(100/MAX(METLTask3[CDR''s Weight])/100)))</f>
        <v/>
      </c>
      <c r="I89" s="28">
        <v>9</v>
      </c>
      <c r="J89" s="24" t="str">
        <f>IF(ISNUMBER(SEARCH("→",METLTask3[[#This Row],[METL Task 3]])),"",IF(G89=$A$5,$B$5*METLTask3[[#This Row],[CDR''s Weight]],IF(G89=$A$6,$B$6*METLTask3[[#This Row],[CDR''s Weight]],IF(G89=$A$7,$B$7*METLTask3[[#This Row],[CDR''s Weight]]))))</f>
        <v/>
      </c>
      <c r="K89" s="25">
        <f>VLOOKUP(METLTask3[[#This Row],[Commander''s Assessment]],Table218[],2,FALSE)*(1-(($I$82:$I$91-1)*(100/MAX($I$82:$I$91)/100)))</f>
        <v>0.19999999999999996</v>
      </c>
      <c r="L89" s="26"/>
      <c r="M89" s="25"/>
      <c r="N89" s="25"/>
      <c r="O89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89" s="43"/>
    </row>
    <row r="90" spans="5:16" hidden="1" outlineLevel="1" x14ac:dyDescent="0.3">
      <c r="E90" s="27" t="s">
        <v>24</v>
      </c>
      <c r="F90" s="33"/>
      <c r="G90" s="20" t="s">
        <v>3</v>
      </c>
      <c r="H90" s="35" t="str">
        <f>IF(ISBLANK(METLTask3[[#This Row],[CDR''s Weight]]),"",VLOOKUP(METLTask3[[#This Row],[Commander''s Assessment]],Table218[],2,FALSE)*(1-(METLTask3[CDR''s Weight]-1)*(100/MAX(METLTask3[CDR''s Weight])/100)))</f>
        <v/>
      </c>
      <c r="I90" s="28">
        <v>10</v>
      </c>
      <c r="J90" s="24" t="str">
        <f>IF(ISNUMBER(SEARCH("→",METLTask3[[#This Row],[METL Task 3]])),"",IF(G90=$A$5,$B$5*METLTask3[[#This Row],[CDR''s Weight]],IF(G90=$A$6,$B$6*METLTask3[[#This Row],[CDR''s Weight]],IF(G90=$A$7,$B$7*METLTask3[[#This Row],[CDR''s Weight]]))))</f>
        <v/>
      </c>
      <c r="K90" s="25">
        <f>VLOOKUP(METLTask3[[#This Row],[Commander''s Assessment]],Table218[],2,FALSE)*(1-(($I$82:$I$91-1)*(100/MAX($I$82:$I$91)/100)))</f>
        <v>9.999999999999998E-4</v>
      </c>
      <c r="L90" s="26"/>
      <c r="M90" s="25"/>
      <c r="N90" s="25"/>
      <c r="O90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90" s="43"/>
    </row>
    <row r="91" spans="5:16" hidden="1" outlineLevel="1" x14ac:dyDescent="0.3">
      <c r="E91" s="27" t="s">
        <v>24</v>
      </c>
      <c r="F91" s="31"/>
      <c r="G91" s="20" t="s">
        <v>3</v>
      </c>
      <c r="H91" s="35" t="str">
        <f>IF(ISBLANK(METLTask3[[#This Row],[CDR''s Weight]]),"",VLOOKUP(METLTask3[[#This Row],[Commander''s Assessment]],Table218[],2,FALSE)*(1-(METLTask3[CDR''s Weight]-1)*(100/MAX(METLTask3[CDR''s Weight])/100)))</f>
        <v/>
      </c>
      <c r="I91" s="29">
        <v>1</v>
      </c>
      <c r="J91" s="24" t="str">
        <f>IF(ISNUMBER(SEARCH("→",METLTask3[[#This Row],[METL Task 3]])),"",IF(G91=$A$5,$B$5*METLTask3[[#This Row],[CDR''s Weight]],IF(G91=$A$6,$B$6*METLTask3[[#This Row],[CDR''s Weight]],IF(G91=$A$7,$B$7*METLTask3[[#This Row],[CDR''s Weight]]))))</f>
        <v/>
      </c>
      <c r="K91" s="25">
        <f>VLOOKUP(METLTask3[[#This Row],[Commander''s Assessment]],Table218[],2,FALSE)*(1-(($I$82:$I$91-1)*(100/MAX($I$82:$I$91)/100)))</f>
        <v>0.01</v>
      </c>
      <c r="L91" s="26"/>
      <c r="M91" s="21"/>
      <c r="N91" s="21"/>
      <c r="O91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91" s="43"/>
    </row>
    <row r="92" spans="5:16" collapsed="1" x14ac:dyDescent="0.3">
      <c r="E92" s="22" t="s">
        <v>16</v>
      </c>
      <c r="F92" s="20">
        <v>9</v>
      </c>
      <c r="G92" s="20" t="s">
        <v>18</v>
      </c>
      <c r="H92" s="35">
        <f>IF(ISBLANK(METLTask3[[#This Row],[CDR''s Weight]]),"",VLOOKUP(METLTask3[[#This Row],[Commander''s Assessment]],Table218[],2,FALSE)*(1-(METLTask3[CDR''s Weight]-1)*(100/MAX(METLTask3[CDR''s Weight])/100)))</f>
        <v>0.19999999999999996</v>
      </c>
      <c r="I92" s="23"/>
      <c r="J92" s="24">
        <f>IF(ISNUMBER(SEARCH("→",METLTask3[[#This Row],[METL Task 3]])),"",IF(G92=$A$5,$B$5*METLTask3[[#This Row],[CDR''s Weight]],IF(G92=$A$6,$B$6*METLTask3[[#This Row],[CDR''s Weight]],IF(G92=$A$7,$B$7*METLTask3[[#This Row],[CDR''s Weight]]))))</f>
        <v>9</v>
      </c>
      <c r="K92" s="25" t="str">
        <f>IF(ISNUMBER(METLTask3[[#This Row],[Total]]),"",VLOOKUP(METLTask3[[#This Row],[Commander''s Assessment]],Table218[],2,FALSE)*(1-(($I$93:$I$102-1)*(100/MAX($I$93:$I$102)/100))))</f>
        <v/>
      </c>
      <c r="L92" s="26">
        <f>SUM(I93:I102)</f>
        <v>55</v>
      </c>
      <c r="M92" s="25">
        <f>SUM(K93:K102)*10</f>
        <v>37.61</v>
      </c>
      <c r="N92" s="25">
        <f>METLTask3[[#This Row],[New SB Total]]/METLTask3[[#This Row],[New SB Weight]]</f>
        <v>0.68381818181818177</v>
      </c>
      <c r="O92" s="2" t="str">
        <f>IF(ISBLANK(METLTask3[[#This Row],[calc]]),"",IF(METLTask3[[#This Row],[calc]]&gt;=0.66,$A$5,IF(AND(METLTask3[[#This Row],[calc]]&lt;0.66,METLTask3[[#This Row],[calc]]&gt;=0.33),$A$6,IF(METLTask3[[#This Row],[calc]]&lt;0.33,"U"))))</f>
        <v>T</v>
      </c>
      <c r="P92" s="43"/>
    </row>
    <row r="93" spans="5:16" hidden="1" outlineLevel="1" x14ac:dyDescent="0.3">
      <c r="E93" s="27" t="s">
        <v>33</v>
      </c>
      <c r="F93" s="33"/>
      <c r="G93" s="20" t="s">
        <v>2</v>
      </c>
      <c r="H93" s="35" t="str">
        <f>IF(ISBLANK(METLTask3[[#This Row],[CDR''s Weight]]),"",VLOOKUP(METLTask3[[#This Row],[Commander''s Assessment]],Table218[],2,FALSE)*(1-(METLTask3[CDR''s Weight]-1)*(100/MAX(METLTask3[CDR''s Weight])/100)))</f>
        <v/>
      </c>
      <c r="I93" s="28">
        <v>2</v>
      </c>
      <c r="J93" s="24" t="str">
        <f>IF(ISNUMBER(SEARCH("→",METLTask3[[#This Row],[METL Task 3]])),"",IF(G93=$A$5,$B$5*METLTask3[[#This Row],[CDR''s Weight]],IF(G93=$A$6,$B$6*METLTask3[[#This Row],[CDR''s Weight]],IF(G93=$A$7,$B$7*METLTask3[[#This Row],[CDR''s Weight]]))))</f>
        <v/>
      </c>
      <c r="K93" s="25">
        <f>VLOOKUP(METLTask3[[#This Row],[Commander''s Assessment]],Table218[],2,FALSE)*(1-(($I$93:$I$102-1)*(100/MAX($I$93:$I$102)/100)))</f>
        <v>0.45</v>
      </c>
      <c r="L93" s="26"/>
      <c r="M93" s="25"/>
      <c r="N93" s="25"/>
      <c r="O93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93" s="43"/>
    </row>
    <row r="94" spans="5:16" hidden="1" outlineLevel="1" x14ac:dyDescent="0.3">
      <c r="E94" s="27" t="s">
        <v>24</v>
      </c>
      <c r="F94" s="33"/>
      <c r="G94" s="20" t="s">
        <v>1</v>
      </c>
      <c r="H94" s="35" t="str">
        <f>IF(ISBLANK(METLTask3[[#This Row],[CDR''s Weight]]),"",VLOOKUP(METLTask3[[#This Row],[Commander''s Assessment]],Table218[],2,FALSE)*(1-(METLTask3[CDR''s Weight]-1)*(100/MAX(METLTask3[CDR''s Weight])/100)))</f>
        <v/>
      </c>
      <c r="I94" s="28">
        <v>3</v>
      </c>
      <c r="J94" s="24" t="str">
        <f>IF(ISNUMBER(SEARCH("→",METLTask3[[#This Row],[METL Task 3]])),"",IF(G94=$A$5,$B$5*METLTask3[[#This Row],[CDR''s Weight]],IF(G94=$A$6,$B$6*METLTask3[[#This Row],[CDR''s Weight]],IF(G94=$A$7,$B$7*METLTask3[[#This Row],[CDR''s Weight]]))))</f>
        <v/>
      </c>
      <c r="K94" s="25">
        <f>VLOOKUP(METLTask3[[#This Row],[Commander''s Assessment]],Table218[],2,FALSE)*(1-(($I$93:$I$102-1)*(100/MAX($I$93:$I$102)/100)))</f>
        <v>0.8</v>
      </c>
      <c r="L94" s="26"/>
      <c r="M94" s="25"/>
      <c r="N94" s="25"/>
      <c r="O94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94" s="43"/>
    </row>
    <row r="95" spans="5:16" hidden="1" outlineLevel="1" x14ac:dyDescent="0.3">
      <c r="E95" s="27" t="s">
        <v>24</v>
      </c>
      <c r="F95" s="31"/>
      <c r="G95" s="20" t="s">
        <v>1</v>
      </c>
      <c r="H95" s="35" t="str">
        <f>IF(ISBLANK(METLTask3[[#This Row],[CDR''s Weight]]),"",VLOOKUP(METLTask3[[#This Row],[Commander''s Assessment]],Table218[],2,FALSE)*(1-(METLTask3[CDR''s Weight]-1)*(100/MAX(METLTask3[CDR''s Weight])/100)))</f>
        <v/>
      </c>
      <c r="I95" s="28">
        <v>4</v>
      </c>
      <c r="J95" s="24" t="str">
        <f>IF(ISNUMBER(SEARCH("→",METLTask3[[#This Row],[METL Task 3]])),"",IF(G95=$A$5,$B$5*METLTask3[[#This Row],[CDR''s Weight]],IF(G95=$A$6,$B$6*METLTask3[[#This Row],[CDR''s Weight]],IF(G95=$A$7,$B$7*METLTask3[[#This Row],[CDR''s Weight]]))))</f>
        <v/>
      </c>
      <c r="K95" s="25">
        <f>VLOOKUP(METLTask3[[#This Row],[Commander''s Assessment]],Table218[],2,FALSE)*(1-(($I$93:$I$102-1)*(100/MAX($I$93:$I$102)/100)))</f>
        <v>0.7</v>
      </c>
      <c r="L95" s="26"/>
      <c r="M95" s="25"/>
      <c r="N95" s="25"/>
      <c r="O95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95" s="43"/>
    </row>
    <row r="96" spans="5:16" hidden="1" outlineLevel="1" x14ac:dyDescent="0.3">
      <c r="E96" s="27" t="s">
        <v>24</v>
      </c>
      <c r="F96" s="33"/>
      <c r="G96" s="20" t="s">
        <v>1</v>
      </c>
      <c r="H96" s="35" t="str">
        <f>IF(ISBLANK(METLTask3[[#This Row],[CDR''s Weight]]),"",VLOOKUP(METLTask3[[#This Row],[Commander''s Assessment]],Table218[],2,FALSE)*(1-(METLTask3[CDR''s Weight]-1)*(100/MAX(METLTask3[CDR''s Weight])/100)))</f>
        <v/>
      </c>
      <c r="I96" s="28">
        <v>5</v>
      </c>
      <c r="J96" s="24" t="str">
        <f>IF(ISNUMBER(SEARCH("→",METLTask3[[#This Row],[METL Task 3]])),"",IF(G96=$A$5,$B$5*METLTask3[[#This Row],[CDR''s Weight]],IF(G96=$A$6,$B$6*METLTask3[[#This Row],[CDR''s Weight]],IF(G96=$A$7,$B$7*METLTask3[[#This Row],[CDR''s Weight]]))))</f>
        <v/>
      </c>
      <c r="K96" s="25">
        <f>VLOOKUP(METLTask3[[#This Row],[Commander''s Assessment]],Table218[],2,FALSE)*(1-(($I$93:$I$102-1)*(100/MAX($I$93:$I$102)/100)))</f>
        <v>0.6</v>
      </c>
      <c r="L96" s="26"/>
      <c r="M96" s="25"/>
      <c r="N96" s="25"/>
      <c r="O96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96" s="43"/>
    </row>
    <row r="97" spans="5:16" hidden="1" outlineLevel="1" x14ac:dyDescent="0.3">
      <c r="E97" s="27" t="s">
        <v>24</v>
      </c>
      <c r="F97" s="33"/>
      <c r="G97" s="20" t="s">
        <v>1</v>
      </c>
      <c r="H97" s="35" t="str">
        <f>IF(ISBLANK(METLTask3[[#This Row],[CDR''s Weight]]),"",VLOOKUP(METLTask3[[#This Row],[Commander''s Assessment]],Table218[],2,FALSE)*(1-(METLTask3[CDR''s Weight]-1)*(100/MAX(METLTask3[CDR''s Weight])/100)))</f>
        <v/>
      </c>
      <c r="I97" s="28">
        <v>6</v>
      </c>
      <c r="J97" s="24" t="str">
        <f>IF(ISNUMBER(SEARCH("→",METLTask3[[#This Row],[METL Task 3]])),"",IF(G97=$A$5,$B$5*METLTask3[[#This Row],[CDR''s Weight]],IF(G97=$A$6,$B$6*METLTask3[[#This Row],[CDR''s Weight]],IF(G97=$A$7,$B$7*METLTask3[[#This Row],[CDR''s Weight]]))))</f>
        <v/>
      </c>
      <c r="K97" s="25">
        <f>VLOOKUP(METLTask3[[#This Row],[Commander''s Assessment]],Table218[],2,FALSE)*(1-(($I$93:$I$102-1)*(100/MAX($I$93:$I$102)/100)))</f>
        <v>0.5</v>
      </c>
      <c r="L97" s="26"/>
      <c r="M97" s="25"/>
      <c r="N97" s="25"/>
      <c r="O97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97" s="43"/>
    </row>
    <row r="98" spans="5:16" hidden="1" outlineLevel="1" x14ac:dyDescent="0.3">
      <c r="E98" s="27" t="s">
        <v>24</v>
      </c>
      <c r="F98" s="33"/>
      <c r="G98" s="20" t="s">
        <v>2</v>
      </c>
      <c r="H98" s="35" t="str">
        <f>IF(ISBLANK(METLTask3[[#This Row],[CDR''s Weight]]),"",VLOOKUP(METLTask3[[#This Row],[Commander''s Assessment]],Table218[],2,FALSE)*(1-(METLTask3[CDR''s Weight]-1)*(100/MAX(METLTask3[CDR''s Weight])/100)))</f>
        <v/>
      </c>
      <c r="I98" s="28">
        <v>7</v>
      </c>
      <c r="J98" s="24" t="str">
        <f>IF(ISNUMBER(SEARCH("→",METLTask3[[#This Row],[METL Task 3]])),"",IF(G98=$A$5,$B$5*METLTask3[[#This Row],[CDR''s Weight]],IF(G98=$A$6,$B$6*METLTask3[[#This Row],[CDR''s Weight]],IF(G98=$A$7,$B$7*METLTask3[[#This Row],[CDR''s Weight]]))))</f>
        <v/>
      </c>
      <c r="K98" s="25">
        <f>VLOOKUP(METLTask3[[#This Row],[Commander''s Assessment]],Table218[],2,FALSE)*(1-(($I$93:$I$102-1)*(100/MAX($I$93:$I$102)/100)))</f>
        <v>0.19999999999999996</v>
      </c>
      <c r="L98" s="26"/>
      <c r="M98" s="25"/>
      <c r="N98" s="25"/>
      <c r="O98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98" s="43"/>
    </row>
    <row r="99" spans="5:16" hidden="1" outlineLevel="1" x14ac:dyDescent="0.3">
      <c r="E99" s="27" t="s">
        <v>24</v>
      </c>
      <c r="F99" s="33"/>
      <c r="G99" s="20" t="s">
        <v>1</v>
      </c>
      <c r="H99" s="35" t="str">
        <f>IF(ISBLANK(METLTask3[[#This Row],[CDR''s Weight]]),"",VLOOKUP(METLTask3[[#This Row],[Commander''s Assessment]],Table218[],2,FALSE)*(1-(METLTask3[CDR''s Weight]-1)*(100/MAX(METLTask3[CDR''s Weight])/100)))</f>
        <v/>
      </c>
      <c r="I99" s="28">
        <v>8</v>
      </c>
      <c r="J99" s="24" t="str">
        <f>IF(ISNUMBER(SEARCH("→",METLTask3[[#This Row],[METL Task 3]])),"",IF(G99=$A$5,$B$5*METLTask3[[#This Row],[CDR''s Weight]],IF(G99=$A$6,$B$6*METLTask3[[#This Row],[CDR''s Weight]],IF(G99=$A$7,$B$7*METLTask3[[#This Row],[CDR''s Weight]]))))</f>
        <v/>
      </c>
      <c r="K99" s="25">
        <f>VLOOKUP(METLTask3[[#This Row],[Commander''s Assessment]],Table218[],2,FALSE)*(1-(($I$93:$I$102-1)*(100/MAX($I$93:$I$102)/100)))</f>
        <v>0.29999999999999993</v>
      </c>
      <c r="L99" s="26"/>
      <c r="M99" s="25"/>
      <c r="N99" s="25"/>
      <c r="O99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99" s="43"/>
    </row>
    <row r="100" spans="5:16" hidden="1" outlineLevel="1" x14ac:dyDescent="0.3">
      <c r="E100" s="27" t="s">
        <v>24</v>
      </c>
      <c r="F100" s="33"/>
      <c r="G100" s="20" t="s">
        <v>1</v>
      </c>
      <c r="H100" s="35" t="str">
        <f>IF(ISBLANK(METLTask3[[#This Row],[CDR''s Weight]]),"",VLOOKUP(METLTask3[[#This Row],[Commander''s Assessment]],Table218[],2,FALSE)*(1-(METLTask3[CDR''s Weight]-1)*(100/MAX(METLTask3[CDR''s Weight])/100)))</f>
        <v/>
      </c>
      <c r="I100" s="28">
        <v>9</v>
      </c>
      <c r="J100" s="24" t="str">
        <f>IF(ISNUMBER(SEARCH("→",METLTask3[[#This Row],[METL Task 3]])),"",IF(G100=$A$5,$B$5*METLTask3[[#This Row],[CDR''s Weight]],IF(G100=$A$6,$B$6*METLTask3[[#This Row],[CDR''s Weight]],IF(G100=$A$7,$B$7*METLTask3[[#This Row],[CDR''s Weight]]))))</f>
        <v/>
      </c>
      <c r="K100" s="25">
        <f>VLOOKUP(METLTask3[[#This Row],[Commander''s Assessment]],Table218[],2,FALSE)*(1-(($I$93:$I$102-1)*(100/MAX($I$93:$I$102)/100)))</f>
        <v>0.19999999999999996</v>
      </c>
      <c r="L100" s="26"/>
      <c r="M100" s="25"/>
      <c r="N100" s="25"/>
      <c r="O100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00" s="43"/>
    </row>
    <row r="101" spans="5:16" hidden="1" outlineLevel="1" x14ac:dyDescent="0.3">
      <c r="E101" s="27" t="s">
        <v>24</v>
      </c>
      <c r="F101" s="33"/>
      <c r="G101" s="20" t="s">
        <v>3</v>
      </c>
      <c r="H101" s="35" t="str">
        <f>IF(ISBLANK(METLTask3[[#This Row],[CDR''s Weight]]),"",VLOOKUP(METLTask3[[#This Row],[Commander''s Assessment]],Table218[],2,FALSE)*(1-(METLTask3[CDR''s Weight]-1)*(100/MAX(METLTask3[CDR''s Weight])/100)))</f>
        <v/>
      </c>
      <c r="I101" s="28">
        <v>10</v>
      </c>
      <c r="J101" s="24" t="str">
        <f>IF(ISNUMBER(SEARCH("→",METLTask3[[#This Row],[METL Task 3]])),"",IF(G101=$A$5,$B$5*METLTask3[[#This Row],[CDR''s Weight]],IF(G101=$A$6,$B$6*METLTask3[[#This Row],[CDR''s Weight]],IF(G101=$A$7,$B$7*METLTask3[[#This Row],[CDR''s Weight]]))))</f>
        <v/>
      </c>
      <c r="K101" s="25">
        <f>VLOOKUP(METLTask3[[#This Row],[Commander''s Assessment]],Table218[],2,FALSE)*(1-(($I$93:$I$102-1)*(100/MAX($I$93:$I$102)/100)))</f>
        <v>9.999999999999998E-4</v>
      </c>
      <c r="L101" s="26"/>
      <c r="M101" s="25"/>
      <c r="N101" s="25"/>
      <c r="O101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01" s="43"/>
    </row>
    <row r="102" spans="5:16" hidden="1" outlineLevel="1" x14ac:dyDescent="0.3">
      <c r="E102" s="27" t="s">
        <v>24</v>
      </c>
      <c r="F102" s="31"/>
      <c r="G102" s="20" t="s">
        <v>3</v>
      </c>
      <c r="H102" s="35" t="str">
        <f>IF(ISBLANK(METLTask3[[#This Row],[CDR''s Weight]]),"",VLOOKUP(METLTask3[[#This Row],[Commander''s Assessment]],Table218[],2,FALSE)*(1-(METLTask3[CDR''s Weight]-1)*(100/MAX(METLTask3[CDR''s Weight])/100)))</f>
        <v/>
      </c>
      <c r="I102" s="29">
        <v>1</v>
      </c>
      <c r="J102" s="24" t="str">
        <f>IF(ISNUMBER(SEARCH("→",METLTask3[[#This Row],[METL Task 3]])),"",IF(G102=$A$5,$B$5*METLTask3[[#This Row],[CDR''s Weight]],IF(G102=$A$6,$B$6*METLTask3[[#This Row],[CDR''s Weight]],IF(G102=$A$7,$B$7*METLTask3[[#This Row],[CDR''s Weight]]))))</f>
        <v/>
      </c>
      <c r="K102" s="25">
        <f>VLOOKUP(METLTask3[[#This Row],[Commander''s Assessment]],Table218[],2,FALSE)*(1-(($I$93:$I$102-1)*(100/MAX($I$93:$I$102)/100)))</f>
        <v>0.01</v>
      </c>
      <c r="L102" s="26"/>
      <c r="M102" s="21"/>
      <c r="N102" s="21"/>
      <c r="O102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02" s="43"/>
    </row>
    <row r="103" spans="5:16" collapsed="1" x14ac:dyDescent="0.3">
      <c r="E103" s="22" t="s">
        <v>16</v>
      </c>
      <c r="F103" s="20">
        <v>10</v>
      </c>
      <c r="G103" s="20" t="s">
        <v>18</v>
      </c>
      <c r="H103" s="35">
        <f>IF(ISBLANK(METLTask3[[#This Row],[CDR''s Weight]]),"",VLOOKUP(METLTask3[[#This Row],[Commander''s Assessment]],Table218[],2,FALSE)*(1-(METLTask3[CDR''s Weight]-1)*(100/MAX(METLTask3[CDR''s Weight])/100)))</f>
        <v>9.9999999999999978E-2</v>
      </c>
      <c r="I103" s="23"/>
      <c r="J103" s="24">
        <f>IF(ISNUMBER(SEARCH("→",METLTask3[[#This Row],[METL Task 3]])),"",IF(G103=$A$5,$B$5*METLTask3[[#This Row],[CDR''s Weight]],IF(G103=$A$6,$B$6*METLTask3[[#This Row],[CDR''s Weight]],IF(G103=$A$7,$B$7*METLTask3[[#This Row],[CDR''s Weight]]))))</f>
        <v>10</v>
      </c>
      <c r="K103" s="25" t="str">
        <f>IF(ISNUMBER(METLTask3[[#This Row],[Total]]),"",VLOOKUP(METLTask3[[#This Row],[Commander''s Assessment]],Table218[],2,FALSE)*(1-(($I$104:$I$113)*(100/MAX($I$104:$I$113)/100))))</f>
        <v/>
      </c>
      <c r="L103" s="26">
        <f>SUM(I104:I113)</f>
        <v>55</v>
      </c>
      <c r="M103" s="25">
        <f>SUM(K104:K113)*10</f>
        <v>37.61</v>
      </c>
      <c r="N103" s="25">
        <f>METLTask3[[#This Row],[New SB Total]]/METLTask3[[#This Row],[New SB Weight]]</f>
        <v>0.68381818181818177</v>
      </c>
      <c r="O103" s="2" t="str">
        <f>IF(ISBLANK(METLTask3[[#This Row],[calc]]),"",IF(METLTask3[[#This Row],[calc]]&gt;=0.66,$A$5,IF(AND(METLTask3[[#This Row],[calc]]&lt;0.66,METLTask3[[#This Row],[calc]]&gt;=0.33),$A$6,IF(METLTask3[[#This Row],[calc]]&lt;0.33,"U"))))</f>
        <v>T</v>
      </c>
      <c r="P103" s="43"/>
    </row>
    <row r="104" spans="5:16" hidden="1" outlineLevel="1" x14ac:dyDescent="0.3">
      <c r="E104" s="27" t="s">
        <v>33</v>
      </c>
      <c r="F104" s="33"/>
      <c r="G104" s="20" t="s">
        <v>2</v>
      </c>
      <c r="H104" s="35" t="str">
        <f>IF(ISBLANK(METLTask3[[#This Row],[CDR''s Weight]]),"",VLOOKUP(METLTask3[[#This Row],[Commander''s Assessment]],Table218[],2,FALSE)*(1-(METLTask3[CDR''s Weight]-1)*(100/MAX(METLTask3[CDR''s Weight])/100)))</f>
        <v/>
      </c>
      <c r="I104" s="28">
        <v>2</v>
      </c>
      <c r="J104" s="24" t="str">
        <f>IF(ISNUMBER(SEARCH("→",METLTask3[[#This Row],[METL Task 3]])),"",IF(G104=$A$5,$B$5*METLTask3[[#This Row],[CDR''s Weight]],IF(G104=$A$6,$B$6*METLTask3[[#This Row],[CDR''s Weight]],IF(G104=$A$7,$B$7*METLTask3[[#This Row],[CDR''s Weight]]))))</f>
        <v/>
      </c>
      <c r="K104" s="25">
        <f>VLOOKUP(METLTask3[[#This Row],[Commander''s Assessment]],Table218[],2,FALSE)*(1-(($I$104:$I$113-1)*(100/MAX($I$104:$I$113)/100)))</f>
        <v>0.45</v>
      </c>
      <c r="L104" s="26"/>
      <c r="M104" s="25"/>
      <c r="N104" s="25"/>
      <c r="O104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04" s="41"/>
    </row>
    <row r="105" spans="5:16" hidden="1" outlineLevel="1" x14ac:dyDescent="0.3">
      <c r="E105" s="27" t="s">
        <v>24</v>
      </c>
      <c r="F105" s="33"/>
      <c r="G105" s="20" t="s">
        <v>1</v>
      </c>
      <c r="H105" s="35" t="str">
        <f>IF(ISBLANK(METLTask3[[#This Row],[CDR''s Weight]]),"",VLOOKUP(METLTask3[[#This Row],[Commander''s Assessment]],Table218[],2,FALSE)*(1-(METLTask3[CDR''s Weight]-1)*(100/MAX(METLTask3[CDR''s Weight])/100)))</f>
        <v/>
      </c>
      <c r="I105" s="28">
        <v>3</v>
      </c>
      <c r="J105" s="24" t="str">
        <f>IF(ISNUMBER(SEARCH("→",METLTask3[[#This Row],[METL Task 3]])),"",IF(G105=$A$5,$B$5*METLTask3[[#This Row],[CDR''s Weight]],IF(G105=$A$6,$B$6*METLTask3[[#This Row],[CDR''s Weight]],IF(G105=$A$7,$B$7*METLTask3[[#This Row],[CDR''s Weight]]))))</f>
        <v/>
      </c>
      <c r="K105" s="25">
        <f>VLOOKUP(METLTask3[[#This Row],[Commander''s Assessment]],Table218[],2,FALSE)*(1-(($I$104:$I$113-1)*(100/MAX($I$104:$I$113)/100)))</f>
        <v>0.8</v>
      </c>
      <c r="L105" s="26"/>
      <c r="M105" s="25"/>
      <c r="N105" s="25"/>
      <c r="O105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05" s="41"/>
    </row>
    <row r="106" spans="5:16" hidden="1" outlineLevel="1" x14ac:dyDescent="0.3">
      <c r="E106" s="27" t="s">
        <v>24</v>
      </c>
      <c r="F106" s="31"/>
      <c r="G106" s="20" t="s">
        <v>1</v>
      </c>
      <c r="H106" s="35" t="str">
        <f>IF(ISBLANK(METLTask3[[#This Row],[CDR''s Weight]]),"",VLOOKUP(METLTask3[[#This Row],[Commander''s Assessment]],Table218[],2,FALSE)*(1-(METLTask3[CDR''s Weight]-1)*(100/MAX(METLTask3[CDR''s Weight])/100)))</f>
        <v/>
      </c>
      <c r="I106" s="28">
        <v>4</v>
      </c>
      <c r="J106" s="24" t="str">
        <f>IF(ISNUMBER(SEARCH("→",METLTask3[[#This Row],[METL Task 3]])),"",IF(G106=$A$5,$B$5*METLTask3[[#This Row],[CDR''s Weight]],IF(G106=$A$6,$B$6*METLTask3[[#This Row],[CDR''s Weight]],IF(G106=$A$7,$B$7*METLTask3[[#This Row],[CDR''s Weight]]))))</f>
        <v/>
      </c>
      <c r="K106" s="25">
        <f>VLOOKUP(METLTask3[[#This Row],[Commander''s Assessment]],Table218[],2,FALSE)*(1-(($I$104:$I$113-1)*(100/MAX($I$104:$I$113)/100)))</f>
        <v>0.7</v>
      </c>
      <c r="L106" s="26"/>
      <c r="M106" s="25"/>
      <c r="N106" s="25"/>
      <c r="O106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06" s="41"/>
    </row>
    <row r="107" spans="5:16" hidden="1" outlineLevel="1" x14ac:dyDescent="0.3">
      <c r="E107" s="27" t="s">
        <v>24</v>
      </c>
      <c r="F107" s="33"/>
      <c r="G107" s="20" t="s">
        <v>1</v>
      </c>
      <c r="H107" s="35" t="str">
        <f>IF(ISBLANK(METLTask3[[#This Row],[CDR''s Weight]]),"",VLOOKUP(METLTask3[[#This Row],[Commander''s Assessment]],Table218[],2,FALSE)*(1-(METLTask3[CDR''s Weight]-1)*(100/MAX(METLTask3[CDR''s Weight])/100)))</f>
        <v/>
      </c>
      <c r="I107" s="28">
        <v>5</v>
      </c>
      <c r="J107" s="24" t="str">
        <f>IF(ISNUMBER(SEARCH("→",METLTask3[[#This Row],[METL Task 3]])),"",IF(G107=$A$5,$B$5*METLTask3[[#This Row],[CDR''s Weight]],IF(G107=$A$6,$B$6*METLTask3[[#This Row],[CDR''s Weight]],IF(G107=$A$7,$B$7*METLTask3[[#This Row],[CDR''s Weight]]))))</f>
        <v/>
      </c>
      <c r="K107" s="25">
        <f>VLOOKUP(METLTask3[[#This Row],[Commander''s Assessment]],Table218[],2,FALSE)*(1-(($I$104:$I$113-1)*(100/MAX($I$104:$I$113)/100)))</f>
        <v>0.6</v>
      </c>
      <c r="L107" s="26"/>
      <c r="M107" s="25"/>
      <c r="N107" s="25"/>
      <c r="O107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07" s="41"/>
    </row>
    <row r="108" spans="5:16" hidden="1" outlineLevel="1" x14ac:dyDescent="0.3">
      <c r="E108" s="27" t="s">
        <v>24</v>
      </c>
      <c r="F108" s="33"/>
      <c r="G108" s="20" t="s">
        <v>1</v>
      </c>
      <c r="H108" s="35" t="str">
        <f>IF(ISBLANK(METLTask3[[#This Row],[CDR''s Weight]]),"",VLOOKUP(METLTask3[[#This Row],[Commander''s Assessment]],Table218[],2,FALSE)*(1-(METLTask3[CDR''s Weight]-1)*(100/MAX(METLTask3[CDR''s Weight])/100)))</f>
        <v/>
      </c>
      <c r="I108" s="28">
        <v>6</v>
      </c>
      <c r="J108" s="24" t="str">
        <f>IF(ISNUMBER(SEARCH("→",METLTask3[[#This Row],[METL Task 3]])),"",IF(G108=$A$5,$B$5*METLTask3[[#This Row],[CDR''s Weight]],IF(G108=$A$6,$B$6*METLTask3[[#This Row],[CDR''s Weight]],IF(G108=$A$7,$B$7*METLTask3[[#This Row],[CDR''s Weight]]))))</f>
        <v/>
      </c>
      <c r="K108" s="25">
        <f>VLOOKUP(METLTask3[[#This Row],[Commander''s Assessment]],Table218[],2,FALSE)*(1-(($I$104:$I$113-1)*(100/MAX($I$104:$I$113)/100)))</f>
        <v>0.5</v>
      </c>
      <c r="L108" s="26"/>
      <c r="M108" s="25"/>
      <c r="N108" s="25"/>
      <c r="O108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08" s="41"/>
    </row>
    <row r="109" spans="5:16" hidden="1" outlineLevel="1" x14ac:dyDescent="0.3">
      <c r="E109" s="27" t="s">
        <v>24</v>
      </c>
      <c r="F109" s="33"/>
      <c r="G109" s="20" t="s">
        <v>2</v>
      </c>
      <c r="H109" s="35" t="str">
        <f>IF(ISBLANK(METLTask3[[#This Row],[CDR''s Weight]]),"",VLOOKUP(METLTask3[[#This Row],[Commander''s Assessment]],Table218[],2,FALSE)*(1-(METLTask3[CDR''s Weight]-1)*(100/MAX(METLTask3[CDR''s Weight])/100)))</f>
        <v/>
      </c>
      <c r="I109" s="28">
        <v>7</v>
      </c>
      <c r="J109" s="24" t="str">
        <f>IF(ISNUMBER(SEARCH("→",METLTask3[[#This Row],[METL Task 3]])),"",IF(G109=$A$5,$B$5*METLTask3[[#This Row],[CDR''s Weight]],IF(G109=$A$6,$B$6*METLTask3[[#This Row],[CDR''s Weight]],IF(G109=$A$7,$B$7*METLTask3[[#This Row],[CDR''s Weight]]))))</f>
        <v/>
      </c>
      <c r="K109" s="25">
        <f>VLOOKUP(METLTask3[[#This Row],[Commander''s Assessment]],Table218[],2,FALSE)*(1-(($I$104:$I$113-1)*(100/MAX($I$104:$I$113)/100)))</f>
        <v>0.19999999999999996</v>
      </c>
      <c r="L109" s="26"/>
      <c r="M109" s="25"/>
      <c r="N109" s="25"/>
      <c r="O109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09" s="41"/>
    </row>
    <row r="110" spans="5:16" hidden="1" outlineLevel="1" x14ac:dyDescent="0.3">
      <c r="E110" s="27" t="s">
        <v>24</v>
      </c>
      <c r="F110" s="33"/>
      <c r="G110" s="20" t="s">
        <v>1</v>
      </c>
      <c r="H110" s="35" t="str">
        <f>IF(ISBLANK(METLTask3[[#This Row],[CDR''s Weight]]),"",VLOOKUP(METLTask3[[#This Row],[Commander''s Assessment]],Table218[],2,FALSE)*(1-(METLTask3[CDR''s Weight]-1)*(100/MAX(METLTask3[CDR''s Weight])/100)))</f>
        <v/>
      </c>
      <c r="I110" s="28">
        <v>8</v>
      </c>
      <c r="J110" s="24" t="str">
        <f>IF(ISNUMBER(SEARCH("→",METLTask3[[#This Row],[METL Task 3]])),"",IF(G110=$A$5,$B$5*METLTask3[[#This Row],[CDR''s Weight]],IF(G110=$A$6,$B$6*METLTask3[[#This Row],[CDR''s Weight]],IF(G110=$A$7,$B$7*METLTask3[[#This Row],[CDR''s Weight]]))))</f>
        <v/>
      </c>
      <c r="K110" s="25">
        <f>VLOOKUP(METLTask3[[#This Row],[Commander''s Assessment]],Table218[],2,FALSE)*(1-(($I$104:$I$113-1)*(100/MAX($I$104:$I$113)/100)))</f>
        <v>0.29999999999999993</v>
      </c>
      <c r="L110" s="26"/>
      <c r="M110" s="25"/>
      <c r="N110" s="25"/>
      <c r="O110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10" s="41"/>
    </row>
    <row r="111" spans="5:16" hidden="1" outlineLevel="1" x14ac:dyDescent="0.3">
      <c r="E111" s="27" t="s">
        <v>24</v>
      </c>
      <c r="F111" s="33"/>
      <c r="G111" s="20" t="s">
        <v>1</v>
      </c>
      <c r="H111" s="35" t="str">
        <f>IF(ISBLANK(METLTask3[[#This Row],[CDR''s Weight]]),"",VLOOKUP(METLTask3[[#This Row],[Commander''s Assessment]],Table218[],2,FALSE)*(1-(METLTask3[CDR''s Weight]-1)*(100/MAX(METLTask3[CDR''s Weight])/100)))</f>
        <v/>
      </c>
      <c r="I111" s="28">
        <v>9</v>
      </c>
      <c r="J111" s="24" t="str">
        <f>IF(ISNUMBER(SEARCH("→",METLTask3[[#This Row],[METL Task 3]])),"",IF(G111=$A$5,$B$5*METLTask3[[#This Row],[CDR''s Weight]],IF(G111=$A$6,$B$6*METLTask3[[#This Row],[CDR''s Weight]],IF(G111=$A$7,$B$7*METLTask3[[#This Row],[CDR''s Weight]]))))</f>
        <v/>
      </c>
      <c r="K111" s="25">
        <f>VLOOKUP(METLTask3[[#This Row],[Commander''s Assessment]],Table218[],2,FALSE)*(1-(($I$104:$I$113-1)*(100/MAX($I$104:$I$113)/100)))</f>
        <v>0.19999999999999996</v>
      </c>
      <c r="L111" s="26"/>
      <c r="M111" s="25"/>
      <c r="N111" s="25"/>
      <c r="O111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11" s="41"/>
    </row>
    <row r="112" spans="5:16" hidden="1" outlineLevel="1" x14ac:dyDescent="0.3">
      <c r="E112" s="27" t="s">
        <v>24</v>
      </c>
      <c r="F112" s="33"/>
      <c r="G112" s="20" t="s">
        <v>3</v>
      </c>
      <c r="H112" s="35" t="str">
        <f>IF(ISBLANK(METLTask3[[#This Row],[CDR''s Weight]]),"",VLOOKUP(METLTask3[[#This Row],[Commander''s Assessment]],Table218[],2,FALSE)*(1-(METLTask3[CDR''s Weight]-1)*(100/MAX(METLTask3[CDR''s Weight])/100)))</f>
        <v/>
      </c>
      <c r="I112" s="28">
        <v>10</v>
      </c>
      <c r="J112" s="24" t="str">
        <f>IF(ISNUMBER(SEARCH("→",METLTask3[[#This Row],[METL Task 3]])),"",IF(G112=$A$5,$B$5*METLTask3[[#This Row],[CDR''s Weight]],IF(G112=$A$6,$B$6*METLTask3[[#This Row],[CDR''s Weight]],IF(G112=$A$7,$B$7*METLTask3[[#This Row],[CDR''s Weight]]))))</f>
        <v/>
      </c>
      <c r="K112" s="25">
        <f>VLOOKUP(METLTask3[[#This Row],[Commander''s Assessment]],Table218[],2,FALSE)*(1-(($I$104:$I$113-1)*(100/MAX($I$104:$I$113)/100)))</f>
        <v>9.999999999999998E-4</v>
      </c>
      <c r="L112" s="26"/>
      <c r="M112" s="25"/>
      <c r="N112" s="25"/>
      <c r="O112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12" s="41"/>
    </row>
    <row r="113" spans="5:16" hidden="1" outlineLevel="1" x14ac:dyDescent="0.3">
      <c r="E113" s="27" t="s">
        <v>24</v>
      </c>
      <c r="F113" s="31"/>
      <c r="G113" s="20" t="s">
        <v>3</v>
      </c>
      <c r="H113" s="35" t="str">
        <f>IF(ISBLANK(METLTask3[[#This Row],[CDR''s Weight]]),"",VLOOKUP(METLTask3[[#This Row],[Commander''s Assessment]],Table218[],2,FALSE)*(1-(METLTask3[CDR''s Weight]-1)*(100/MAX(METLTask3[CDR''s Weight])/100)))</f>
        <v/>
      </c>
      <c r="I113" s="29">
        <v>1</v>
      </c>
      <c r="J113" s="24" t="str">
        <f>IF(ISNUMBER(SEARCH("→",METLTask3[[#This Row],[METL Task 3]])),"",IF(G113=$A$5,$B$5*METLTask3[[#This Row],[CDR''s Weight]],IF(G113=$A$6,$B$6*METLTask3[[#This Row],[CDR''s Weight]],IF(G113=$A$7,$B$7*METLTask3[[#This Row],[CDR''s Weight]]))))</f>
        <v/>
      </c>
      <c r="K113" s="25">
        <f>VLOOKUP(METLTask3[[#This Row],[Commander''s Assessment]],Table218[],2,FALSE)*(1-(($I$104:$I$113-1)*(100/MAX($I$104:$I$113)/100)))</f>
        <v>0.01</v>
      </c>
      <c r="L113" s="26"/>
      <c r="M113" s="21"/>
      <c r="N113" s="21"/>
      <c r="O113" s="18" t="str">
        <f>IF(ISBLANK(METLTask3[[#This Row],[calc]]),"",IF(METLTask3[[#This Row],[calc]]&gt;=0.66,$A$5,IF(AND(METLTask3[[#This Row],[calc]]&lt;0.66,METLTask3[[#This Row],[calc]]&gt;=0.33),$A$6,IF(METLTask3[[#This Row],[calc]]&lt;0.33,"U"))))</f>
        <v/>
      </c>
      <c r="P113" s="41"/>
    </row>
    <row r="114" spans="5:16" collapsed="1" x14ac:dyDescent="0.3">
      <c r="E114" s="3" t="s">
        <v>5</v>
      </c>
      <c r="F114" s="4">
        <f>SUBTOTAL(109,METLTask3[CDR''s Weight])</f>
        <v>55</v>
      </c>
      <c r="G114" s="4"/>
      <c r="H114" s="36"/>
      <c r="I114" s="5"/>
      <c r="J114" s="5">
        <f>SUBTOTAL(109,METLTask3[Total])</f>
        <v>51</v>
      </c>
      <c r="K114" s="6">
        <f>METLTask3[[#Totals],[Total]]/METLTask3[[#Totals],[CDR''s Weight]]</f>
        <v>0.92727272727272725</v>
      </c>
      <c r="L114" s="3"/>
      <c r="M114" s="3"/>
      <c r="N114" s="3"/>
      <c r="O114" s="3"/>
      <c r="P114" s="40"/>
    </row>
  </sheetData>
  <conditionalFormatting sqref="O15 D3 G4:H15 O4">
    <cfRule type="cellIs" dxfId="232" priority="52" operator="equal">
      <formula>"u"</formula>
    </cfRule>
    <cfRule type="cellIs" dxfId="231" priority="53" operator="equal">
      <formula>"T"</formula>
    </cfRule>
    <cfRule type="cellIs" dxfId="230" priority="54" operator="equal">
      <formula>"P"</formula>
    </cfRule>
  </conditionalFormatting>
  <conditionalFormatting sqref="G16:H25">
    <cfRule type="cellIs" dxfId="229" priority="49" operator="equal">
      <formula>"u"</formula>
    </cfRule>
    <cfRule type="cellIs" dxfId="228" priority="50" operator="equal">
      <formula>"T"</formula>
    </cfRule>
    <cfRule type="cellIs" dxfId="227" priority="51" operator="equal">
      <formula>"P"</formula>
    </cfRule>
  </conditionalFormatting>
  <conditionalFormatting sqref="O26 G26:H26">
    <cfRule type="cellIs" dxfId="226" priority="46" operator="equal">
      <formula>"u"</formula>
    </cfRule>
    <cfRule type="cellIs" dxfId="225" priority="47" operator="equal">
      <formula>"T"</formula>
    </cfRule>
    <cfRule type="cellIs" dxfId="224" priority="48" operator="equal">
      <formula>"P"</formula>
    </cfRule>
  </conditionalFormatting>
  <conditionalFormatting sqref="G27:H36">
    <cfRule type="cellIs" dxfId="223" priority="43" operator="equal">
      <formula>"u"</formula>
    </cfRule>
    <cfRule type="cellIs" dxfId="222" priority="44" operator="equal">
      <formula>"T"</formula>
    </cfRule>
    <cfRule type="cellIs" dxfId="221" priority="45" operator="equal">
      <formula>"P"</formula>
    </cfRule>
  </conditionalFormatting>
  <conditionalFormatting sqref="O37 G37:H37">
    <cfRule type="cellIs" dxfId="220" priority="40" operator="equal">
      <formula>"u"</formula>
    </cfRule>
    <cfRule type="cellIs" dxfId="219" priority="41" operator="equal">
      <formula>"T"</formula>
    </cfRule>
    <cfRule type="cellIs" dxfId="218" priority="42" operator="equal">
      <formula>"P"</formula>
    </cfRule>
  </conditionalFormatting>
  <conditionalFormatting sqref="G38:H47">
    <cfRule type="cellIs" dxfId="217" priority="37" operator="equal">
      <formula>"u"</formula>
    </cfRule>
    <cfRule type="cellIs" dxfId="216" priority="38" operator="equal">
      <formula>"T"</formula>
    </cfRule>
    <cfRule type="cellIs" dxfId="215" priority="39" operator="equal">
      <formula>"P"</formula>
    </cfRule>
  </conditionalFormatting>
  <conditionalFormatting sqref="O48 G48:H48">
    <cfRule type="cellIs" dxfId="214" priority="34" operator="equal">
      <formula>"u"</formula>
    </cfRule>
    <cfRule type="cellIs" dxfId="213" priority="35" operator="equal">
      <formula>"T"</formula>
    </cfRule>
    <cfRule type="cellIs" dxfId="212" priority="36" operator="equal">
      <formula>"P"</formula>
    </cfRule>
  </conditionalFormatting>
  <conditionalFormatting sqref="G49:H58">
    <cfRule type="cellIs" dxfId="211" priority="31" operator="equal">
      <formula>"u"</formula>
    </cfRule>
    <cfRule type="cellIs" dxfId="210" priority="32" operator="equal">
      <formula>"T"</formula>
    </cfRule>
    <cfRule type="cellIs" dxfId="209" priority="33" operator="equal">
      <formula>"P"</formula>
    </cfRule>
  </conditionalFormatting>
  <conditionalFormatting sqref="O59 G59:H59">
    <cfRule type="cellIs" dxfId="208" priority="28" operator="equal">
      <formula>"u"</formula>
    </cfRule>
    <cfRule type="cellIs" dxfId="207" priority="29" operator="equal">
      <formula>"T"</formula>
    </cfRule>
    <cfRule type="cellIs" dxfId="206" priority="30" operator="equal">
      <formula>"P"</formula>
    </cfRule>
  </conditionalFormatting>
  <conditionalFormatting sqref="G60:H69">
    <cfRule type="cellIs" dxfId="205" priority="25" operator="equal">
      <formula>"u"</formula>
    </cfRule>
    <cfRule type="cellIs" dxfId="204" priority="26" operator="equal">
      <formula>"T"</formula>
    </cfRule>
    <cfRule type="cellIs" dxfId="203" priority="27" operator="equal">
      <formula>"P"</formula>
    </cfRule>
  </conditionalFormatting>
  <conditionalFormatting sqref="O70 G70:H70">
    <cfRule type="cellIs" dxfId="202" priority="22" operator="equal">
      <formula>"u"</formula>
    </cfRule>
    <cfRule type="cellIs" dxfId="201" priority="23" operator="equal">
      <formula>"T"</formula>
    </cfRule>
    <cfRule type="cellIs" dxfId="200" priority="24" operator="equal">
      <formula>"P"</formula>
    </cfRule>
  </conditionalFormatting>
  <conditionalFormatting sqref="G71:H80">
    <cfRule type="cellIs" dxfId="199" priority="19" operator="equal">
      <formula>"u"</formula>
    </cfRule>
    <cfRule type="cellIs" dxfId="198" priority="20" operator="equal">
      <formula>"T"</formula>
    </cfRule>
    <cfRule type="cellIs" dxfId="197" priority="21" operator="equal">
      <formula>"P"</formula>
    </cfRule>
  </conditionalFormatting>
  <conditionalFormatting sqref="O81 G81:H81">
    <cfRule type="cellIs" dxfId="196" priority="16" operator="equal">
      <formula>"u"</formula>
    </cfRule>
    <cfRule type="cellIs" dxfId="195" priority="17" operator="equal">
      <formula>"T"</formula>
    </cfRule>
    <cfRule type="cellIs" dxfId="194" priority="18" operator="equal">
      <formula>"P"</formula>
    </cfRule>
  </conditionalFormatting>
  <conditionalFormatting sqref="G82:H91">
    <cfRule type="cellIs" dxfId="193" priority="13" operator="equal">
      <formula>"u"</formula>
    </cfRule>
    <cfRule type="cellIs" dxfId="192" priority="14" operator="equal">
      <formula>"T"</formula>
    </cfRule>
    <cfRule type="cellIs" dxfId="191" priority="15" operator="equal">
      <formula>"P"</formula>
    </cfRule>
  </conditionalFormatting>
  <conditionalFormatting sqref="O92 G92:H92">
    <cfRule type="cellIs" dxfId="190" priority="10" operator="equal">
      <formula>"u"</formula>
    </cfRule>
    <cfRule type="cellIs" dxfId="189" priority="11" operator="equal">
      <formula>"T"</formula>
    </cfRule>
    <cfRule type="cellIs" dxfId="188" priority="12" operator="equal">
      <formula>"P"</formula>
    </cfRule>
  </conditionalFormatting>
  <conditionalFormatting sqref="G93:H102">
    <cfRule type="cellIs" dxfId="187" priority="7" operator="equal">
      <formula>"u"</formula>
    </cfRule>
    <cfRule type="cellIs" dxfId="186" priority="8" operator="equal">
      <formula>"T"</formula>
    </cfRule>
    <cfRule type="cellIs" dxfId="185" priority="9" operator="equal">
      <formula>"P"</formula>
    </cfRule>
  </conditionalFormatting>
  <conditionalFormatting sqref="O103 G103:H103">
    <cfRule type="cellIs" dxfId="184" priority="4" operator="equal">
      <formula>"u"</formula>
    </cfRule>
    <cfRule type="cellIs" dxfId="183" priority="5" operator="equal">
      <formula>"T"</formula>
    </cfRule>
    <cfRule type="cellIs" dxfId="182" priority="6" operator="equal">
      <formula>"P"</formula>
    </cfRule>
  </conditionalFormatting>
  <conditionalFormatting sqref="G104:H113">
    <cfRule type="cellIs" dxfId="181" priority="1" operator="equal">
      <formula>"u"</formula>
    </cfRule>
    <cfRule type="cellIs" dxfId="180" priority="2" operator="equal">
      <formula>"T"</formula>
    </cfRule>
    <cfRule type="cellIs" dxfId="179" priority="3" operator="equal">
      <formula>"P"</formula>
    </cfRule>
  </conditionalFormatting>
  <dataValidations count="1">
    <dataValidation type="list" allowBlank="1" showInputMessage="1" showErrorMessage="1" sqref="G4:G113">
      <formula1>$A$5:$A$7</formula1>
    </dataValidation>
  </dataValidations>
  <pageMargins left="0.7" right="0.7" top="0.75" bottom="0.75" header="0.3" footer="0.3"/>
  <pageSetup scale="79" orientation="portrait" r:id="rId1"/>
  <colBreaks count="1" manualBreakCount="1">
    <brk id="14" max="140" man="1"/>
  </colBreak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topLeftCell="C1" zoomScaleNormal="100" workbookViewId="0">
      <pane xSplit="12" ySplit="3" topLeftCell="O4" activePane="bottomRight" state="frozen"/>
      <selection activeCell="C1" sqref="C1"/>
      <selection pane="topRight" activeCell="O1" sqref="O1"/>
      <selection pane="bottomLeft" activeCell="C4" sqref="C4"/>
      <selection pane="bottomRight" activeCell="P3" sqref="P3:P114"/>
    </sheetView>
  </sheetViews>
  <sheetFormatPr defaultRowHeight="14.4" outlineLevelRow="1" x14ac:dyDescent="0.3"/>
  <cols>
    <col min="1" max="2" width="9.88671875" hidden="1" customWidth="1"/>
    <col min="3" max="3" width="4.21875" customWidth="1"/>
    <col min="4" max="4" width="7.5546875" customWidth="1"/>
    <col min="5" max="5" width="26.88671875" customWidth="1"/>
    <col min="6" max="6" width="17.77734375" bestFit="1" customWidth="1"/>
    <col min="7" max="7" width="15.44140625" bestFit="1" customWidth="1"/>
    <col min="8" max="8" width="15.44140625" style="16" hidden="1" customWidth="1"/>
    <col min="9" max="9" width="20.21875" bestFit="1" customWidth="1"/>
    <col min="10" max="10" width="10" hidden="1" customWidth="1"/>
    <col min="11" max="11" width="16.77734375" hidden="1" customWidth="1"/>
    <col min="12" max="12" width="17.109375" hidden="1" customWidth="1"/>
    <col min="13" max="13" width="14.88671875" hidden="1" customWidth="1"/>
    <col min="14" max="14" width="6.5546875" hidden="1" customWidth="1"/>
    <col min="15" max="15" width="26.44140625" bestFit="1" customWidth="1"/>
    <col min="16" max="16" width="25.6640625" style="9" customWidth="1"/>
    <col min="17" max="17" width="10.109375" style="9" bestFit="1" customWidth="1"/>
    <col min="18" max="18" width="13.88671875" style="9" customWidth="1"/>
    <col min="19" max="21" width="9.109375" style="9"/>
  </cols>
  <sheetData>
    <row r="1" spans="1:16" ht="22.5" customHeight="1" x14ac:dyDescent="0.3">
      <c r="C1" s="8"/>
      <c r="D1" s="9"/>
      <c r="E1" s="9"/>
      <c r="F1" s="9"/>
      <c r="G1" s="9"/>
      <c r="H1" s="15"/>
      <c r="I1" s="9"/>
      <c r="J1" s="9"/>
      <c r="K1" s="9"/>
      <c r="L1" s="9"/>
      <c r="M1" s="9"/>
      <c r="N1" s="9"/>
      <c r="O1" s="9"/>
    </row>
    <row r="2" spans="1:16" ht="12.75" customHeight="1" x14ac:dyDescent="0.3">
      <c r="C2" s="8"/>
      <c r="D2" t="s">
        <v>12</v>
      </c>
      <c r="E2" s="9"/>
      <c r="F2" s="9"/>
      <c r="G2" s="9"/>
      <c r="H2" s="15"/>
      <c r="I2" s="9"/>
      <c r="J2" s="9"/>
      <c r="K2" s="9"/>
      <c r="L2" s="9"/>
      <c r="M2" s="9"/>
      <c r="N2" s="9"/>
      <c r="O2" s="9"/>
    </row>
    <row r="3" spans="1:16" ht="31.5" customHeight="1" thickBot="1" x14ac:dyDescent="0.35">
      <c r="B3" t="s">
        <v>6</v>
      </c>
      <c r="C3" s="8"/>
      <c r="D3" s="7" t="str">
        <f>IF((SUM(METLTask4[Column1])*10)/(SUM(METLTask4[CDR''s Weight]))&gt;=0.66,$A$5,IF(AND((SUM(METLTask4[Column1])*10)/(SUM(METLTask4[CDR''s Weight]))&lt;0.66,(SUM(METLTask4[Column1])*10)/(SUM(METLTask4[CDR''s Weight]))&gt;=0.33),$A$6,$A$7))</f>
        <v>T</v>
      </c>
      <c r="E3" s="19" t="s">
        <v>37</v>
      </c>
      <c r="F3" s="20" t="s">
        <v>0</v>
      </c>
      <c r="G3" s="20" t="s">
        <v>25</v>
      </c>
      <c r="H3" s="35" t="s">
        <v>19</v>
      </c>
      <c r="I3" s="20" t="s">
        <v>17</v>
      </c>
      <c r="J3" s="20" t="s">
        <v>4</v>
      </c>
      <c r="K3" s="21" t="s">
        <v>7</v>
      </c>
      <c r="L3" s="21" t="s">
        <v>8</v>
      </c>
      <c r="M3" s="21" t="s">
        <v>9</v>
      </c>
      <c r="N3" s="21" t="s">
        <v>10</v>
      </c>
      <c r="O3" s="1" t="s">
        <v>11</v>
      </c>
      <c r="P3" s="42" t="s">
        <v>43</v>
      </c>
    </row>
    <row r="4" spans="1:16" ht="15.45" customHeight="1" thickBot="1" x14ac:dyDescent="0.35">
      <c r="A4" t="s">
        <v>19</v>
      </c>
      <c r="B4" t="s">
        <v>20</v>
      </c>
      <c r="C4" s="8"/>
      <c r="D4" s="37">
        <f>(SUM(METLTask4[Column1])*10)/(SUM(METLTask4[CDR''s Weight]))</f>
        <v>0.69327272727272715</v>
      </c>
      <c r="E4" s="22" t="s">
        <v>34</v>
      </c>
      <c r="F4" s="20">
        <v>1</v>
      </c>
      <c r="G4" s="34" t="s">
        <v>1</v>
      </c>
      <c r="H4" s="35">
        <f>IF(ISBLANK(METLTask4[[#This Row],[CDR''s Weight]]),"",VLOOKUP(METLTask4[[#This Row],[Commander''s Assessment]],Table220[],2,FALSE)*(1-(METLTask4[CDR''s Weight]-1)*(100/MAX(METLTask4[CDR''s Weight])/100)))</f>
        <v>1</v>
      </c>
      <c r="I4" s="23"/>
      <c r="J4" s="24">
        <f>IF(ISNUMBER(SEARCH("→",METLTask4[[#This Row],[METL Task 4]])),"",IF(G4=$A$5,$B$5*METLTask4[[#This Row],[CDR''s Weight]],IF(G4=$A$6,$B$6*METLTask4[[#This Row],[CDR''s Weight]],IF(G4=$A$7,$B$7*METLTask4[[#This Row],[CDR''s Weight]]))))</f>
        <v>1</v>
      </c>
      <c r="K4" s="25" t="str">
        <f>IF(ISNUMBER(METLTask4[[#This Row],[Total]]),"",VLOOKUP(METLTask4[[#This Row],[Commander''s Assessment]],Table220[],2,FALSE)*(1-(($I$5:$I$14-1)*(100/MAX($I$5:$I$14)/100))))</f>
        <v/>
      </c>
      <c r="L4" s="26">
        <f>SUM(I5:I14)</f>
        <v>55</v>
      </c>
      <c r="M4" s="25">
        <f>SUM(K5:K14)*10</f>
        <v>37.61</v>
      </c>
      <c r="N4" s="25">
        <f>(SUM(K5:K14)*10)/(SUM(I5:I14))</f>
        <v>0.68381818181818177</v>
      </c>
      <c r="O4" s="2" t="str">
        <f>IF(ISBLANK(METLTask4[[#This Row],[calc]]),"",IF(METLTask4[[#This Row],[calc]]&gt;=0.66,$A$5,IF(AND(METLTask4[[#This Row],[calc]]&lt;0.66,METLTask4[[#This Row],[calc]]&gt;=0.33),$A$6,IF(METLTask4[[#This Row],[calc]]&lt;0.33,"U"))))</f>
        <v>T</v>
      </c>
      <c r="P4" s="43"/>
    </row>
    <row r="5" spans="1:16" hidden="1" outlineLevel="1" x14ac:dyDescent="0.3">
      <c r="A5" t="s">
        <v>1</v>
      </c>
      <c r="B5" s="14">
        <v>1</v>
      </c>
      <c r="C5" s="8"/>
      <c r="D5" s="9"/>
      <c r="E5" s="27" t="s">
        <v>33</v>
      </c>
      <c r="F5" s="32"/>
      <c r="G5" s="20" t="s">
        <v>2</v>
      </c>
      <c r="H5" s="35" t="str">
        <f>IF(ISBLANK(METLTask4[[#This Row],[CDR''s Weight]]),"",VLOOKUP(METLTask4[[#This Row],[Commander''s Assessment]],Table220[],2,FALSE)*(1-(METLTask4[CDR''s Weight]-1)*(100/MAX(METLTask4[CDR''s Weight])/100)))</f>
        <v/>
      </c>
      <c r="I5" s="28">
        <v>2</v>
      </c>
      <c r="J5" s="24" t="str">
        <f>IF(ISNUMBER(SEARCH("→",METLTask4[[#This Row],[METL Task 4]])),"",IF(G5=$A$5,$B$5*METLTask4[[#This Row],[CDR''s Weight]],IF(G5=$A$6,$B$6*METLTask4[[#This Row],[CDR''s Weight]],IF(G5=$A$7,$B$7*METLTask4[[#This Row],[CDR''s Weight]]))))</f>
        <v/>
      </c>
      <c r="K5" s="25">
        <f>VLOOKUP(METLTask4[[#This Row],[Commander''s Assessment]],Table220[],2,FALSE)*(1-(($I$5:$I$14-1)*(100/MAX($I$5:$I$14)/100)))</f>
        <v>0.45</v>
      </c>
      <c r="L5" s="26"/>
      <c r="M5" s="25"/>
      <c r="N5" s="25"/>
      <c r="O5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5" s="43"/>
    </row>
    <row r="6" spans="1:16" ht="16.649999999999999" hidden="1" customHeight="1" outlineLevel="1" x14ac:dyDescent="0.3">
      <c r="A6" t="s">
        <v>2</v>
      </c>
      <c r="B6" s="14">
        <v>0.5</v>
      </c>
      <c r="C6" s="8"/>
      <c r="D6" s="9"/>
      <c r="E6" s="27" t="s">
        <v>24</v>
      </c>
      <c r="F6" s="32"/>
      <c r="G6" s="20" t="s">
        <v>1</v>
      </c>
      <c r="H6" s="35" t="str">
        <f>IF(ISBLANK(METLTask4[[#This Row],[CDR''s Weight]]),"",VLOOKUP(METLTask4[[#This Row],[Commander''s Assessment]],Table220[],2,FALSE)*(1-(METLTask4[CDR''s Weight]-1)*(100/MAX(METLTask4[CDR''s Weight])/100)))</f>
        <v/>
      </c>
      <c r="I6" s="28">
        <v>3</v>
      </c>
      <c r="J6" s="24" t="str">
        <f>IF(ISNUMBER(SEARCH("→",METLTask4[[#This Row],[METL Task 4]])),"",IF(G6=$A$5,$B$5*METLTask4[[#This Row],[CDR''s Weight]],IF(G6=$A$6,$B$6*METLTask4[[#This Row],[CDR''s Weight]],IF(G6=$A$7,$B$7*METLTask4[[#This Row],[CDR''s Weight]]))))</f>
        <v/>
      </c>
      <c r="K6" s="25">
        <f>VLOOKUP(METLTask4[[#This Row],[Commander''s Assessment]],Table220[],2,FALSE)*(1-(($I$5:$I$14-1)*(100/MAX($I$5:$I$14)/100)))</f>
        <v>0.8</v>
      </c>
      <c r="L6" s="26"/>
      <c r="M6" s="25"/>
      <c r="N6" s="25"/>
      <c r="O6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6" s="43"/>
    </row>
    <row r="7" spans="1:16" hidden="1" outlineLevel="1" x14ac:dyDescent="0.3">
      <c r="A7" t="s">
        <v>3</v>
      </c>
      <c r="B7" s="14">
        <v>0.01</v>
      </c>
      <c r="C7" s="8"/>
      <c r="D7" s="9"/>
      <c r="E7" s="27" t="s">
        <v>24</v>
      </c>
      <c r="F7" s="32"/>
      <c r="G7" s="20" t="s">
        <v>1</v>
      </c>
      <c r="H7" s="35" t="str">
        <f>IF(ISBLANK(METLTask4[[#This Row],[CDR''s Weight]]),"",VLOOKUP(METLTask4[[#This Row],[Commander''s Assessment]],Table220[],2,FALSE)*(1-(METLTask4[CDR''s Weight]-1)*(100/MAX(METLTask4[CDR''s Weight])/100)))</f>
        <v/>
      </c>
      <c r="I7" s="28">
        <v>4</v>
      </c>
      <c r="J7" s="24" t="str">
        <f>IF(ISNUMBER(SEARCH("→",METLTask4[[#This Row],[METL Task 4]])),"",IF(G7=$A$5,$B$5*METLTask4[[#This Row],[CDR''s Weight]],IF(G7=$A$6,$B$6*METLTask4[[#This Row],[CDR''s Weight]],IF(G7=$A$7,$B$7*METLTask4[[#This Row],[CDR''s Weight]]))))</f>
        <v/>
      </c>
      <c r="K7" s="25">
        <f>VLOOKUP(METLTask4[[#This Row],[Commander''s Assessment]],Table220[],2,FALSE)*(1-(($I$5:$I$14-1)*(100/MAX($I$5:$I$14)/100)))</f>
        <v>0.7</v>
      </c>
      <c r="L7" s="26"/>
      <c r="M7" s="25"/>
      <c r="N7" s="25"/>
      <c r="O7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7" s="43"/>
    </row>
    <row r="8" spans="1:16" hidden="1" outlineLevel="1" x14ac:dyDescent="0.3">
      <c r="C8" s="8"/>
      <c r="D8" s="9"/>
      <c r="E8" s="27" t="s">
        <v>24</v>
      </c>
      <c r="F8" s="33"/>
      <c r="G8" s="20" t="s">
        <v>1</v>
      </c>
      <c r="H8" s="35" t="str">
        <f>IF(ISBLANK(METLTask4[[#This Row],[CDR''s Weight]]),"",VLOOKUP(METLTask4[[#This Row],[Commander''s Assessment]],Table220[],2,FALSE)*(1-(METLTask4[CDR''s Weight]-1)*(100/MAX(METLTask4[CDR''s Weight])/100)))</f>
        <v/>
      </c>
      <c r="I8" s="28">
        <v>5</v>
      </c>
      <c r="J8" s="24" t="str">
        <f>IF(ISNUMBER(SEARCH("→",METLTask4[[#This Row],[METL Task 4]])),"",IF(G8=$A$5,$B$5*METLTask4[[#This Row],[CDR''s Weight]],IF(G8=$A$6,$B$6*METLTask4[[#This Row],[CDR''s Weight]],IF(G8=$A$7,$B$7*METLTask4[[#This Row],[CDR''s Weight]]))))</f>
        <v/>
      </c>
      <c r="K8" s="25">
        <f>VLOOKUP(METLTask4[[#This Row],[Commander''s Assessment]],Table220[],2,FALSE)*(1-(($I$5:$I$14-1)*(100/MAX($I$5:$I$14)/100)))</f>
        <v>0.6</v>
      </c>
      <c r="L8" s="26"/>
      <c r="M8" s="25"/>
      <c r="N8" s="25"/>
      <c r="O8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8" s="43"/>
    </row>
    <row r="9" spans="1:16" hidden="1" outlineLevel="1" x14ac:dyDescent="0.3">
      <c r="C9" s="8"/>
      <c r="D9" s="9"/>
      <c r="E9" s="27" t="s">
        <v>24</v>
      </c>
      <c r="F9" s="33"/>
      <c r="G9" s="20" t="s">
        <v>1</v>
      </c>
      <c r="H9" s="35" t="str">
        <f>IF(ISBLANK(METLTask4[[#This Row],[CDR''s Weight]]),"",VLOOKUP(METLTask4[[#This Row],[Commander''s Assessment]],Table220[],2,FALSE)*(1-(METLTask4[CDR''s Weight]-1)*(100/MAX(METLTask4[CDR''s Weight])/100)))</f>
        <v/>
      </c>
      <c r="I9" s="28">
        <v>6</v>
      </c>
      <c r="J9" s="24" t="str">
        <f>IF(ISNUMBER(SEARCH("→",METLTask4[[#This Row],[METL Task 4]])),"",IF(G9=$A$5,$B$5*METLTask4[[#This Row],[CDR''s Weight]],IF(G9=$A$6,$B$6*METLTask4[[#This Row],[CDR''s Weight]],IF(G9=$A$7,$B$7*METLTask4[[#This Row],[CDR''s Weight]]))))</f>
        <v/>
      </c>
      <c r="K9" s="25">
        <f>VLOOKUP(METLTask4[[#This Row],[Commander''s Assessment]],Table220[],2,FALSE)*(1-(($I$5:$I$14-1)*(100/MAX($I$5:$I$14)/100)))</f>
        <v>0.5</v>
      </c>
      <c r="L9" s="26"/>
      <c r="M9" s="25"/>
      <c r="N9" s="25"/>
      <c r="O9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9" s="43"/>
    </row>
    <row r="10" spans="1:16" hidden="1" outlineLevel="1" x14ac:dyDescent="0.3">
      <c r="C10" s="8"/>
      <c r="D10" s="9"/>
      <c r="E10" s="27" t="s">
        <v>24</v>
      </c>
      <c r="F10" s="31"/>
      <c r="G10" s="20" t="s">
        <v>2</v>
      </c>
      <c r="H10" s="35" t="str">
        <f>IF(ISBLANK(METLTask4[[#This Row],[CDR''s Weight]]),"",VLOOKUP(METLTask4[[#This Row],[Commander''s Assessment]],Table220[],2,FALSE)*(1-(METLTask4[CDR''s Weight]-1)*(100/MAX(METLTask4[CDR''s Weight])/100)))</f>
        <v/>
      </c>
      <c r="I10" s="28">
        <v>7</v>
      </c>
      <c r="J10" s="24" t="str">
        <f>IF(ISNUMBER(SEARCH("→",METLTask4[[#This Row],[METL Task 4]])),"",IF(G10=$A$5,$B$5*METLTask4[[#This Row],[CDR''s Weight]],IF(G10=$A$6,$B$6*METLTask4[[#This Row],[CDR''s Weight]],IF(G10=$A$7,$B$7*METLTask4[[#This Row],[CDR''s Weight]]))))</f>
        <v/>
      </c>
      <c r="K10" s="25">
        <f>VLOOKUP(METLTask4[[#This Row],[Commander''s Assessment]],Table220[],2,FALSE)*(1-(($I$5:$I$14-1)*(100/MAX($I$5:$I$14)/100)))</f>
        <v>0.19999999999999996</v>
      </c>
      <c r="L10" s="26"/>
      <c r="M10" s="25"/>
      <c r="N10" s="25"/>
      <c r="O10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0" s="43"/>
    </row>
    <row r="11" spans="1:16" hidden="1" outlineLevel="1" x14ac:dyDescent="0.3">
      <c r="C11" s="8"/>
      <c r="D11" s="9"/>
      <c r="E11" s="27" t="s">
        <v>24</v>
      </c>
      <c r="F11" s="31"/>
      <c r="G11" s="20" t="s">
        <v>1</v>
      </c>
      <c r="H11" s="35" t="str">
        <f>IF(ISBLANK(METLTask4[[#This Row],[CDR''s Weight]]),"",VLOOKUP(METLTask4[[#This Row],[Commander''s Assessment]],Table220[],2,FALSE)*(1-(METLTask4[CDR''s Weight]-1)*(100/MAX(METLTask4[CDR''s Weight])/100)))</f>
        <v/>
      </c>
      <c r="I11" s="28">
        <v>8</v>
      </c>
      <c r="J11" s="24" t="str">
        <f>IF(ISNUMBER(SEARCH("→",METLTask4[[#This Row],[METL Task 4]])),"",IF(G11=$A$5,$B$5*METLTask4[[#This Row],[CDR''s Weight]],IF(G11=$A$6,$B$6*METLTask4[[#This Row],[CDR''s Weight]],IF(G11=$A$7,$B$7*METLTask4[[#This Row],[CDR''s Weight]]))))</f>
        <v/>
      </c>
      <c r="K11" s="25">
        <f>VLOOKUP(METLTask4[[#This Row],[Commander''s Assessment]],Table220[],2,FALSE)*(1-(($I$5:$I$14-1)*(100/MAX($I$5:$I$14)/100)))</f>
        <v>0.29999999999999993</v>
      </c>
      <c r="L11" s="26"/>
      <c r="M11" s="25"/>
      <c r="N11" s="25"/>
      <c r="O11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1" s="43"/>
    </row>
    <row r="12" spans="1:16" hidden="1" outlineLevel="1" x14ac:dyDescent="0.3">
      <c r="C12" s="8"/>
      <c r="D12" s="9"/>
      <c r="E12" s="27" t="s">
        <v>24</v>
      </c>
      <c r="F12" s="31"/>
      <c r="G12" s="20" t="s">
        <v>1</v>
      </c>
      <c r="H12" s="35" t="str">
        <f>IF(ISBLANK(METLTask4[[#This Row],[CDR''s Weight]]),"",VLOOKUP(METLTask4[[#This Row],[Commander''s Assessment]],Table220[],2,FALSE)*(1-(METLTask4[CDR''s Weight]-1)*(100/MAX(METLTask4[CDR''s Weight])/100)))</f>
        <v/>
      </c>
      <c r="I12" s="28">
        <v>9</v>
      </c>
      <c r="J12" s="24" t="str">
        <f>IF(ISNUMBER(SEARCH("→",METLTask4[[#This Row],[METL Task 4]])),"",IF(G12=$A$5,$B$5*METLTask4[[#This Row],[CDR''s Weight]],IF(G12=$A$6,$B$6*METLTask4[[#This Row],[CDR''s Weight]],IF(G12=$A$7,$B$7*METLTask4[[#This Row],[CDR''s Weight]]))))</f>
        <v/>
      </c>
      <c r="K12" s="25">
        <f>VLOOKUP(METLTask4[[#This Row],[Commander''s Assessment]],Table220[],2,FALSE)*(1-(($I$5:$I$14-1)*(100/MAX($I$5:$I$14)/100)))</f>
        <v>0.19999999999999996</v>
      </c>
      <c r="L12" s="26"/>
      <c r="M12" s="25"/>
      <c r="N12" s="25"/>
      <c r="O12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2" s="43"/>
    </row>
    <row r="13" spans="1:16" hidden="1" outlineLevel="1" x14ac:dyDescent="0.3">
      <c r="C13" s="8"/>
      <c r="D13" s="9"/>
      <c r="E13" s="27" t="s">
        <v>24</v>
      </c>
      <c r="F13" s="31"/>
      <c r="G13" s="20" t="s">
        <v>3</v>
      </c>
      <c r="H13" s="35" t="str">
        <f>IF(ISBLANK(METLTask4[[#This Row],[CDR''s Weight]]),"",VLOOKUP(METLTask4[[#This Row],[Commander''s Assessment]],Table220[],2,FALSE)*(1-(METLTask4[CDR''s Weight]-1)*(100/MAX(METLTask4[CDR''s Weight])/100)))</f>
        <v/>
      </c>
      <c r="I13" s="28">
        <v>10</v>
      </c>
      <c r="J13" s="24" t="str">
        <f>IF(ISNUMBER(SEARCH("→",METLTask4[[#This Row],[METL Task 4]])),"",IF(G13=$A$5,$B$5*METLTask4[[#This Row],[CDR''s Weight]],IF(G13=$A$6,$B$6*METLTask4[[#This Row],[CDR''s Weight]],IF(G13=$A$7,$B$7*METLTask4[[#This Row],[CDR''s Weight]]))))</f>
        <v/>
      </c>
      <c r="K13" s="25">
        <f>VLOOKUP(METLTask4[[#This Row],[Commander''s Assessment]],Table220[],2,FALSE)*(1-(($I$5:$I$14-1)*(100/MAX($I$5:$I$14)/100)))</f>
        <v>9.999999999999998E-4</v>
      </c>
      <c r="L13" s="26"/>
      <c r="M13" s="25"/>
      <c r="N13" s="25"/>
      <c r="O13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3" s="43"/>
    </row>
    <row r="14" spans="1:16" hidden="1" outlineLevel="1" x14ac:dyDescent="0.3">
      <c r="C14" s="8"/>
      <c r="D14" s="9"/>
      <c r="E14" s="27" t="s">
        <v>24</v>
      </c>
      <c r="F14" s="30"/>
      <c r="G14" s="20" t="s">
        <v>3</v>
      </c>
      <c r="H14" s="35" t="str">
        <f>IF(ISBLANK(METLTask4[[#This Row],[CDR''s Weight]]),"",VLOOKUP(METLTask4[[#This Row],[Commander''s Assessment]],Table220[],2,FALSE)*(1-(METLTask4[CDR''s Weight]-1)*(100/MAX(METLTask4[CDR''s Weight])/100)))</f>
        <v/>
      </c>
      <c r="I14" s="29">
        <v>1</v>
      </c>
      <c r="J14" s="24" t="str">
        <f>IF(ISNUMBER(SEARCH("→",METLTask4[[#This Row],[METL Task 4]])),"",IF(G14=$A$5,$B$5*METLTask4[[#This Row],[CDR''s Weight]],IF(G14=$A$6,$B$6*METLTask4[[#This Row],[CDR''s Weight]],IF(G14=$A$7,$B$7*METLTask4[[#This Row],[CDR''s Weight]]))))</f>
        <v/>
      </c>
      <c r="K14" s="25">
        <f>VLOOKUP(METLTask4[[#This Row],[Commander''s Assessment]],Table220[],2,FALSE)*(1-(($I$5:$I$14-1)*(100/MAX($I$5:$I$14)/100)))</f>
        <v>0.01</v>
      </c>
      <c r="L14" s="26"/>
      <c r="M14" s="21"/>
      <c r="N14" s="21"/>
      <c r="O14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4" s="43"/>
    </row>
    <row r="15" spans="1:16" collapsed="1" x14ac:dyDescent="0.3">
      <c r="C15" s="8"/>
      <c r="D15" s="9"/>
      <c r="E15" s="22" t="s">
        <v>16</v>
      </c>
      <c r="F15" s="20">
        <v>2</v>
      </c>
      <c r="G15" s="20" t="s">
        <v>1</v>
      </c>
      <c r="H15" s="35">
        <f>IF(ISBLANK(METLTask4[[#This Row],[CDR''s Weight]]),"",VLOOKUP(METLTask4[[#This Row],[Commander''s Assessment]],Table220[],2,FALSE)*(1-(METLTask4[CDR''s Weight]-1)*(100/MAX(METLTask4[CDR''s Weight])/100)))</f>
        <v>0.9</v>
      </c>
      <c r="I15" s="23"/>
      <c r="J15" s="24">
        <f>IF(ISNUMBER(SEARCH("→",METLTask4[[#This Row],[METL Task 4]])),"",IF(G15=$A$5,$B$5*METLTask4[[#This Row],[CDR''s Weight]],IF(G15=$A$6,$B$6*METLTask4[[#This Row],[CDR''s Weight]],IF(G15=$A$7,$B$7*METLTask4[[#This Row],[CDR''s Weight]]))))</f>
        <v>2</v>
      </c>
      <c r="K15" s="25" t="str">
        <f>IF(ISNUMBER(METLTask4[[#This Row],[Total]]),"",VLOOKUP(METLTask4[[#This Row],[Commander''s Assessment]],Table220[],2,FALSE)*(1-(($I$16:$I$25-1)*(100/MAX($I$16:$I$25)/100))))</f>
        <v/>
      </c>
      <c r="L15" s="26">
        <f>SUM(I16:I25)</f>
        <v>55</v>
      </c>
      <c r="M15" s="25">
        <f>SUM(K16:K25)*10</f>
        <v>33.609999999999992</v>
      </c>
      <c r="N15" s="25">
        <f>METLTask4[[#This Row],[New SB Total]]/METLTask4[[#This Row],[New SB Weight]]</f>
        <v>0.61109090909090891</v>
      </c>
      <c r="O15" s="2" t="str">
        <f>IF(ISBLANK(METLTask4[[#This Row],[calc]]),"",IF(METLTask4[[#This Row],[calc]]&gt;=0.66,$A$5,IF(AND(METLTask4[[#This Row],[calc]]&lt;0.66,METLTask4[[#This Row],[calc]]&gt;=0.33),$A$6,IF(METLTask4[[#This Row],[calc]]&lt;0.33,"U"))))</f>
        <v>P</v>
      </c>
      <c r="P15" s="43"/>
    </row>
    <row r="16" spans="1:16" hidden="1" outlineLevel="1" x14ac:dyDescent="0.3">
      <c r="B16" s="14"/>
      <c r="C16" s="8"/>
      <c r="D16" s="9"/>
      <c r="E16" s="27" t="s">
        <v>33</v>
      </c>
      <c r="F16" s="33"/>
      <c r="G16" s="20" t="s">
        <v>2</v>
      </c>
      <c r="H16" s="35" t="str">
        <f>IF(ISBLANK(METLTask4[[#This Row],[CDR''s Weight]]),"",VLOOKUP(METLTask4[[#This Row],[Commander''s Assessment]],Table220[],2,FALSE)*(1-(METLTask4[CDR''s Weight]-1)*(100/MAX(METLTask4[CDR''s Weight])/100)))</f>
        <v/>
      </c>
      <c r="I16" s="28">
        <v>2</v>
      </c>
      <c r="J16" s="24" t="str">
        <f>IF(ISNUMBER(SEARCH("→",METLTask4[[#This Row],[METL Task 4]])),"",IF(G16=$A$5,$B$5*METLTask4[[#This Row],[CDR''s Weight]],IF(G16=$A$6,$B$6*METLTask4[[#This Row],[CDR''s Weight]],IF(G16=$A$7,$B$7*METLTask4[[#This Row],[CDR''s Weight]]))))</f>
        <v/>
      </c>
      <c r="K16" s="25">
        <f>VLOOKUP(METLTask4[[#This Row],[Commander''s Assessment]],Table220[],2,FALSE)*(1-(($I$16:$I$25-1)*(100/MAX($I$16:$I$25)/100)))</f>
        <v>0.45</v>
      </c>
      <c r="L16" s="26"/>
      <c r="M16" s="25"/>
      <c r="N16" s="25"/>
      <c r="O16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6" s="43"/>
    </row>
    <row r="17" spans="2:16" ht="16.649999999999999" hidden="1" customHeight="1" outlineLevel="1" x14ac:dyDescent="0.3">
      <c r="B17" s="14"/>
      <c r="C17" s="8"/>
      <c r="D17" s="9"/>
      <c r="E17" s="27" t="s">
        <v>24</v>
      </c>
      <c r="F17" s="33"/>
      <c r="G17" s="20" t="s">
        <v>2</v>
      </c>
      <c r="H17" s="35" t="str">
        <f>IF(ISBLANK(METLTask4[[#This Row],[CDR''s Weight]]),"",VLOOKUP(METLTask4[[#This Row],[Commander''s Assessment]],Table220[],2,FALSE)*(1-(METLTask4[CDR''s Weight]-1)*(100/MAX(METLTask4[CDR''s Weight])/100)))</f>
        <v/>
      </c>
      <c r="I17" s="28">
        <v>3</v>
      </c>
      <c r="J17" s="24" t="str">
        <f>IF(ISNUMBER(SEARCH("→",METLTask4[[#This Row],[METL Task 4]])),"",IF(G17=$A$5,$B$5*METLTask4[[#This Row],[CDR''s Weight]],IF(G17=$A$6,$B$6*METLTask4[[#This Row],[CDR''s Weight]],IF(G17=$A$7,$B$7*METLTask4[[#This Row],[CDR''s Weight]]))))</f>
        <v/>
      </c>
      <c r="K17" s="25">
        <f>VLOOKUP(METLTask4[[#This Row],[Commander''s Assessment]],Table220[],2,FALSE)*(1-(($I$16:$I$25-1)*(100/MAX($I$16:$I$25)/100)))</f>
        <v>0.4</v>
      </c>
      <c r="L17" s="26"/>
      <c r="M17" s="25"/>
      <c r="N17" s="25"/>
      <c r="O17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7" s="43"/>
    </row>
    <row r="18" spans="2:16" hidden="1" outlineLevel="1" x14ac:dyDescent="0.3">
      <c r="B18" s="14"/>
      <c r="C18" s="8"/>
      <c r="D18" s="9"/>
      <c r="E18" s="27" t="s">
        <v>24</v>
      </c>
      <c r="F18" s="31"/>
      <c r="G18" s="20" t="s">
        <v>1</v>
      </c>
      <c r="H18" s="35" t="str">
        <f>IF(ISBLANK(METLTask4[[#This Row],[CDR''s Weight]]),"",VLOOKUP(METLTask4[[#This Row],[Commander''s Assessment]],Table220[],2,FALSE)*(1-(METLTask4[CDR''s Weight]-1)*(100/MAX(METLTask4[CDR''s Weight])/100)))</f>
        <v/>
      </c>
      <c r="I18" s="28">
        <v>4</v>
      </c>
      <c r="J18" s="24" t="str">
        <f>IF(ISNUMBER(SEARCH("→",METLTask4[[#This Row],[METL Task 4]])),"",IF(G18=$A$5,$B$5*METLTask4[[#This Row],[CDR''s Weight]],IF(G18=$A$6,$B$6*METLTask4[[#This Row],[CDR''s Weight]],IF(G18=$A$7,$B$7*METLTask4[[#This Row],[CDR''s Weight]]))))</f>
        <v/>
      </c>
      <c r="K18" s="25">
        <f>VLOOKUP(METLTask4[[#This Row],[Commander''s Assessment]],Table220[],2,FALSE)*(1-(($I$16:$I$25-1)*(100/MAX($I$16:$I$25)/100)))</f>
        <v>0.7</v>
      </c>
      <c r="L18" s="26"/>
      <c r="M18" s="25"/>
      <c r="N18" s="25"/>
      <c r="O18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8" s="43"/>
    </row>
    <row r="19" spans="2:16" hidden="1" outlineLevel="1" x14ac:dyDescent="0.3">
      <c r="C19" s="8"/>
      <c r="D19" s="9"/>
      <c r="E19" s="27" t="s">
        <v>24</v>
      </c>
      <c r="F19" s="33"/>
      <c r="G19" s="20" t="s">
        <v>1</v>
      </c>
      <c r="H19" s="35" t="str">
        <f>IF(ISBLANK(METLTask4[[#This Row],[CDR''s Weight]]),"",VLOOKUP(METLTask4[[#This Row],[Commander''s Assessment]],Table220[],2,FALSE)*(1-(METLTask4[CDR''s Weight]-1)*(100/MAX(METLTask4[CDR''s Weight])/100)))</f>
        <v/>
      </c>
      <c r="I19" s="28">
        <v>5</v>
      </c>
      <c r="J19" s="24" t="str">
        <f>IF(ISNUMBER(SEARCH("→",METLTask4[[#This Row],[METL Task 4]])),"",IF(G19=$A$5,$B$5*METLTask4[[#This Row],[CDR''s Weight]],IF(G19=$A$6,$B$6*METLTask4[[#This Row],[CDR''s Weight]],IF(G19=$A$7,$B$7*METLTask4[[#This Row],[CDR''s Weight]]))))</f>
        <v/>
      </c>
      <c r="K19" s="25">
        <f>VLOOKUP(METLTask4[[#This Row],[Commander''s Assessment]],Table220[],2,FALSE)*(1-(($I$16:$I$25-1)*(100/MAX($I$16:$I$25)/100)))</f>
        <v>0.6</v>
      </c>
      <c r="L19" s="26"/>
      <c r="M19" s="25"/>
      <c r="N19" s="25"/>
      <c r="O19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9" s="43"/>
    </row>
    <row r="20" spans="2:16" hidden="1" outlineLevel="1" x14ac:dyDescent="0.3">
      <c r="C20" s="8"/>
      <c r="D20" s="9"/>
      <c r="E20" s="27" t="s">
        <v>24</v>
      </c>
      <c r="F20" s="33"/>
      <c r="G20" s="20" t="s">
        <v>1</v>
      </c>
      <c r="H20" s="35" t="str">
        <f>IF(ISBLANK(METLTask4[[#This Row],[CDR''s Weight]]),"",VLOOKUP(METLTask4[[#This Row],[Commander''s Assessment]],Table220[],2,FALSE)*(1-(METLTask4[CDR''s Weight]-1)*(100/MAX(METLTask4[CDR''s Weight])/100)))</f>
        <v/>
      </c>
      <c r="I20" s="28">
        <v>6</v>
      </c>
      <c r="J20" s="24" t="str">
        <f>IF(ISNUMBER(SEARCH("→",METLTask4[[#This Row],[METL Task 4]])),"",IF(G20=$A$5,$B$5*METLTask4[[#This Row],[CDR''s Weight]],IF(G20=$A$6,$B$6*METLTask4[[#This Row],[CDR''s Weight]],IF(G20=$A$7,$B$7*METLTask4[[#This Row],[CDR''s Weight]]))))</f>
        <v/>
      </c>
      <c r="K20" s="25">
        <f>VLOOKUP(METLTask4[[#This Row],[Commander''s Assessment]],Table220[],2,FALSE)*(1-(($I$16:$I$25-1)*(100/MAX($I$16:$I$25)/100)))</f>
        <v>0.5</v>
      </c>
      <c r="L20" s="26"/>
      <c r="M20" s="25"/>
      <c r="N20" s="25"/>
      <c r="O20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20" s="43"/>
    </row>
    <row r="21" spans="2:16" hidden="1" outlineLevel="1" x14ac:dyDescent="0.3">
      <c r="C21" s="8"/>
      <c r="D21" s="9"/>
      <c r="E21" s="27" t="s">
        <v>24</v>
      </c>
      <c r="F21" s="33"/>
      <c r="G21" s="20" t="s">
        <v>2</v>
      </c>
      <c r="H21" s="35" t="str">
        <f>IF(ISBLANK(METLTask4[[#This Row],[CDR''s Weight]]),"",VLOOKUP(METLTask4[[#This Row],[Commander''s Assessment]],Table220[],2,FALSE)*(1-(METLTask4[CDR''s Weight]-1)*(100/MAX(METLTask4[CDR''s Weight])/100)))</f>
        <v/>
      </c>
      <c r="I21" s="28">
        <v>7</v>
      </c>
      <c r="J21" s="24" t="str">
        <f>IF(ISNUMBER(SEARCH("→",METLTask4[[#This Row],[METL Task 4]])),"",IF(G21=$A$5,$B$5*METLTask4[[#This Row],[CDR''s Weight]],IF(G21=$A$6,$B$6*METLTask4[[#This Row],[CDR''s Weight]],IF(G21=$A$7,$B$7*METLTask4[[#This Row],[CDR''s Weight]]))))</f>
        <v/>
      </c>
      <c r="K21" s="25">
        <f>VLOOKUP(METLTask4[[#This Row],[Commander''s Assessment]],Table220[],2,FALSE)*(1-(($I$16:$I$25-1)*(100/MAX($I$16:$I$25)/100)))</f>
        <v>0.19999999999999996</v>
      </c>
      <c r="L21" s="26"/>
      <c r="M21" s="25"/>
      <c r="N21" s="25"/>
      <c r="O21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21" s="43"/>
    </row>
    <row r="22" spans="2:16" hidden="1" outlineLevel="1" x14ac:dyDescent="0.3">
      <c r="C22" s="8"/>
      <c r="D22" s="9"/>
      <c r="E22" s="27" t="s">
        <v>24</v>
      </c>
      <c r="F22" s="33"/>
      <c r="G22" s="20" t="s">
        <v>1</v>
      </c>
      <c r="H22" s="35" t="str">
        <f>IF(ISBLANK(METLTask4[[#This Row],[CDR''s Weight]]),"",VLOOKUP(METLTask4[[#This Row],[Commander''s Assessment]],Table220[],2,FALSE)*(1-(METLTask4[CDR''s Weight]-1)*(100/MAX(METLTask4[CDR''s Weight])/100)))</f>
        <v/>
      </c>
      <c r="I22" s="28">
        <v>8</v>
      </c>
      <c r="J22" s="24" t="str">
        <f>IF(ISNUMBER(SEARCH("→",METLTask4[[#This Row],[METL Task 4]])),"",IF(G22=$A$5,$B$5*METLTask4[[#This Row],[CDR''s Weight]],IF(G22=$A$6,$B$6*METLTask4[[#This Row],[CDR''s Weight]],IF(G22=$A$7,$B$7*METLTask4[[#This Row],[CDR''s Weight]]))))</f>
        <v/>
      </c>
      <c r="K22" s="25">
        <f>VLOOKUP(METLTask4[[#This Row],[Commander''s Assessment]],Table220[],2,FALSE)*(1-(($I$16:$I$25-1)*(100/MAX($I$16:$I$25)/100)))</f>
        <v>0.29999999999999993</v>
      </c>
      <c r="L22" s="26"/>
      <c r="M22" s="25"/>
      <c r="N22" s="25"/>
      <c r="O22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22" s="43"/>
    </row>
    <row r="23" spans="2:16" hidden="1" outlineLevel="1" x14ac:dyDescent="0.3">
      <c r="C23" s="8"/>
      <c r="D23" s="9"/>
      <c r="E23" s="27" t="s">
        <v>24</v>
      </c>
      <c r="F23" s="33"/>
      <c r="G23" s="20" t="s">
        <v>1</v>
      </c>
      <c r="H23" s="35" t="str">
        <f>IF(ISBLANK(METLTask4[[#This Row],[CDR''s Weight]]),"",VLOOKUP(METLTask4[[#This Row],[Commander''s Assessment]],Table220[],2,FALSE)*(1-(METLTask4[CDR''s Weight]-1)*(100/MAX(METLTask4[CDR''s Weight])/100)))</f>
        <v/>
      </c>
      <c r="I23" s="28">
        <v>9</v>
      </c>
      <c r="J23" s="24" t="str">
        <f>IF(ISNUMBER(SEARCH("→",METLTask4[[#This Row],[METL Task 4]])),"",IF(G23=$A$5,$B$5*METLTask4[[#This Row],[CDR''s Weight]],IF(G23=$A$6,$B$6*METLTask4[[#This Row],[CDR''s Weight]],IF(G23=$A$7,$B$7*METLTask4[[#This Row],[CDR''s Weight]]))))</f>
        <v/>
      </c>
      <c r="K23" s="25">
        <f>VLOOKUP(METLTask4[[#This Row],[Commander''s Assessment]],Table220[],2,FALSE)*(1-(($I$16:$I$25-1)*(100/MAX($I$16:$I$25)/100)))</f>
        <v>0.19999999999999996</v>
      </c>
      <c r="L23" s="26"/>
      <c r="M23" s="25"/>
      <c r="N23" s="25"/>
      <c r="O23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23" s="43"/>
    </row>
    <row r="24" spans="2:16" hidden="1" outlineLevel="1" x14ac:dyDescent="0.3">
      <c r="C24" s="8"/>
      <c r="D24" s="9"/>
      <c r="E24" s="27" t="s">
        <v>24</v>
      </c>
      <c r="F24" s="33"/>
      <c r="G24" s="20" t="s">
        <v>3</v>
      </c>
      <c r="H24" s="35" t="str">
        <f>IF(ISBLANK(METLTask4[[#This Row],[CDR''s Weight]]),"",VLOOKUP(METLTask4[[#This Row],[Commander''s Assessment]],Table220[],2,FALSE)*(1-(METLTask4[CDR''s Weight]-1)*(100/MAX(METLTask4[CDR''s Weight])/100)))</f>
        <v/>
      </c>
      <c r="I24" s="28">
        <v>10</v>
      </c>
      <c r="J24" s="24" t="str">
        <f>IF(ISNUMBER(SEARCH("→",METLTask4[[#This Row],[METL Task 4]])),"",IF(G24=$A$5,$B$5*METLTask4[[#This Row],[CDR''s Weight]],IF(G24=$A$6,$B$6*METLTask4[[#This Row],[CDR''s Weight]],IF(G24=$A$7,$B$7*METLTask4[[#This Row],[CDR''s Weight]]))))</f>
        <v/>
      </c>
      <c r="K24" s="25">
        <f>VLOOKUP(METLTask4[[#This Row],[Commander''s Assessment]],Table220[],2,FALSE)*(1-(($I$16:$I$25-1)*(100/MAX($I$16:$I$25)/100)))</f>
        <v>9.999999999999998E-4</v>
      </c>
      <c r="L24" s="26"/>
      <c r="M24" s="25"/>
      <c r="N24" s="25"/>
      <c r="O24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24" s="43"/>
    </row>
    <row r="25" spans="2:16" hidden="1" outlineLevel="1" x14ac:dyDescent="0.3">
      <c r="C25" s="8"/>
      <c r="D25" s="9"/>
      <c r="E25" s="27" t="s">
        <v>24</v>
      </c>
      <c r="F25" s="31"/>
      <c r="G25" s="20" t="s">
        <v>3</v>
      </c>
      <c r="H25" s="35" t="str">
        <f>IF(ISBLANK(METLTask4[[#This Row],[CDR''s Weight]]),"",VLOOKUP(METLTask4[[#This Row],[Commander''s Assessment]],Table220[],2,FALSE)*(1-(METLTask4[CDR''s Weight]-1)*(100/MAX(METLTask4[CDR''s Weight])/100)))</f>
        <v/>
      </c>
      <c r="I25" s="29">
        <v>1</v>
      </c>
      <c r="J25" s="24" t="str">
        <f>IF(ISNUMBER(SEARCH("→",METLTask4[[#This Row],[METL Task 4]])),"",IF(G25=$A$5,$B$5*METLTask4[[#This Row],[CDR''s Weight]],IF(G25=$A$6,$B$6*METLTask4[[#This Row],[CDR''s Weight]],IF(G25=$A$7,$B$7*METLTask4[[#This Row],[CDR''s Weight]]))))</f>
        <v/>
      </c>
      <c r="K25" s="25">
        <f>VLOOKUP(METLTask4[[#This Row],[Commander''s Assessment]],Table220[],2,FALSE)*(1-(($I$16:$I$25-1)*(100/MAX($I$16:$I$25)/100)))</f>
        <v>0.01</v>
      </c>
      <c r="L25" s="26"/>
      <c r="M25" s="21"/>
      <c r="N25" s="21"/>
      <c r="O25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25" s="43"/>
    </row>
    <row r="26" spans="2:16" collapsed="1" x14ac:dyDescent="0.3">
      <c r="E26" s="22" t="s">
        <v>16</v>
      </c>
      <c r="F26" s="20">
        <v>3</v>
      </c>
      <c r="G26" s="20" t="s">
        <v>2</v>
      </c>
      <c r="H26" s="35">
        <f>IF(ISBLANK(METLTask4[[#This Row],[CDR''s Weight]]),"",VLOOKUP(METLTask4[[#This Row],[Commander''s Assessment]],Table220[],2,FALSE)*(1-(METLTask4[CDR''s Weight]-1)*(100/MAX(METLTask4[CDR''s Weight])/100)))</f>
        <v>0.4</v>
      </c>
      <c r="I26" s="23"/>
      <c r="J26" s="24">
        <f>IF(ISNUMBER(SEARCH("→",METLTask4[[#This Row],[METL Task 4]])),"",IF(G26=$A$5,$B$5*METLTask4[[#This Row],[CDR''s Weight]],IF(G26=$A$6,$B$6*METLTask4[[#This Row],[CDR''s Weight]],IF(G26=$A$7,$B$7*METLTask4[[#This Row],[CDR''s Weight]]))))</f>
        <v>1.5</v>
      </c>
      <c r="K26" s="25" t="str">
        <f>IF(ISNUMBER(METLTask4[[#This Row],[Total]]),"",VLOOKUP(METLTask4[[#This Row],[Commander''s Assessment]],Table220[],2,FALSE)*(1-(($I$27:$I$36-1)*(100/MAX($I$27:$I$36)/100))))</f>
        <v/>
      </c>
      <c r="L26" s="26">
        <f>SUM(I27:I36)</f>
        <v>55</v>
      </c>
      <c r="M26" s="25">
        <f>SUM(K27:K36)*10</f>
        <v>37.61</v>
      </c>
      <c r="N26" s="25">
        <f>METLTask4[[#This Row],[New SB Total]]/METLTask4[[#This Row],[New SB Weight]]</f>
        <v>0.68381818181818177</v>
      </c>
      <c r="O26" s="2" t="str">
        <f>IF(ISBLANK(METLTask4[[#This Row],[calc]]),"",IF(METLTask4[[#This Row],[calc]]&gt;=0.66,$A$5,IF(AND(METLTask4[[#This Row],[calc]]&lt;0.66,METLTask4[[#This Row],[calc]]&gt;=0.33),$A$6,IF(METLTask4[[#This Row],[calc]]&lt;0.33,"U"))))</f>
        <v>T</v>
      </c>
      <c r="P26" s="43"/>
    </row>
    <row r="27" spans="2:16" hidden="1" outlineLevel="1" x14ac:dyDescent="0.3">
      <c r="E27" s="27" t="s">
        <v>33</v>
      </c>
      <c r="F27" s="33"/>
      <c r="G27" s="20" t="s">
        <v>2</v>
      </c>
      <c r="H27" s="35" t="str">
        <f>IF(ISBLANK(METLTask4[[#This Row],[CDR''s Weight]]),"",VLOOKUP(METLTask4[[#This Row],[Commander''s Assessment]],Table220[],2,FALSE)*(1-(METLTask4[CDR''s Weight]-1)*(100/MAX(METLTask4[CDR''s Weight])/100)))</f>
        <v/>
      </c>
      <c r="I27" s="28">
        <v>2</v>
      </c>
      <c r="J27" s="24" t="str">
        <f>IF(ISNUMBER(SEARCH("→",METLTask4[[#This Row],[METL Task 4]])),"",IF(G27=$A$5,$B$5*METLTask4[[#This Row],[CDR''s Weight]],IF(G27=$A$6,$B$6*METLTask4[[#This Row],[CDR''s Weight]],IF(G27=$A$7,$B$7*METLTask4[[#This Row],[CDR''s Weight]]))))</f>
        <v/>
      </c>
      <c r="K27" s="25">
        <f>VLOOKUP(METLTask4[[#This Row],[Commander''s Assessment]],Table220[],2,FALSE)*(1-(($I$27:$I$36-1)*(100/MAX($I$27:$I$36)/100)))</f>
        <v>0.45</v>
      </c>
      <c r="L27" s="26"/>
      <c r="M27" s="25"/>
      <c r="N27" s="25"/>
      <c r="O27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27" s="43"/>
    </row>
    <row r="28" spans="2:16" hidden="1" outlineLevel="1" x14ac:dyDescent="0.3">
      <c r="E28" s="27" t="s">
        <v>24</v>
      </c>
      <c r="F28" s="33"/>
      <c r="G28" s="20" t="s">
        <v>1</v>
      </c>
      <c r="H28" s="35" t="str">
        <f>IF(ISBLANK(METLTask4[[#This Row],[CDR''s Weight]]),"",VLOOKUP(METLTask4[[#This Row],[Commander''s Assessment]],Table220[],2,FALSE)*(1-(METLTask4[CDR''s Weight]-1)*(100/MAX(METLTask4[CDR''s Weight])/100)))</f>
        <v/>
      </c>
      <c r="I28" s="28">
        <v>3</v>
      </c>
      <c r="J28" s="24" t="str">
        <f>IF(ISNUMBER(SEARCH("→",METLTask4[[#This Row],[METL Task 4]])),"",IF(G28=$A$5,$B$5*METLTask4[[#This Row],[CDR''s Weight]],IF(G28=$A$6,$B$6*METLTask4[[#This Row],[CDR''s Weight]],IF(G28=$A$7,$B$7*METLTask4[[#This Row],[CDR''s Weight]]))))</f>
        <v/>
      </c>
      <c r="K28" s="25">
        <f>VLOOKUP(METLTask4[[#This Row],[Commander''s Assessment]],Table220[],2,FALSE)*(1-(($I$27:$I$36-1)*(100/MAX($I$27:$I$36)/100)))</f>
        <v>0.8</v>
      </c>
      <c r="L28" s="26"/>
      <c r="M28" s="25"/>
      <c r="N28" s="25"/>
      <c r="O28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28" s="43"/>
    </row>
    <row r="29" spans="2:16" hidden="1" outlineLevel="1" x14ac:dyDescent="0.3">
      <c r="E29" s="27" t="s">
        <v>24</v>
      </c>
      <c r="F29" s="31"/>
      <c r="G29" s="20" t="s">
        <v>1</v>
      </c>
      <c r="H29" s="35" t="str">
        <f>IF(ISBLANK(METLTask4[[#This Row],[CDR''s Weight]]),"",VLOOKUP(METLTask4[[#This Row],[Commander''s Assessment]],Table220[],2,FALSE)*(1-(METLTask4[CDR''s Weight]-1)*(100/MAX(METLTask4[CDR''s Weight])/100)))</f>
        <v/>
      </c>
      <c r="I29" s="28">
        <v>4</v>
      </c>
      <c r="J29" s="24" t="str">
        <f>IF(ISNUMBER(SEARCH("→",METLTask4[[#This Row],[METL Task 4]])),"",IF(G29=$A$5,$B$5*METLTask4[[#This Row],[CDR''s Weight]],IF(G29=$A$6,$B$6*METLTask4[[#This Row],[CDR''s Weight]],IF(G29=$A$7,$B$7*METLTask4[[#This Row],[CDR''s Weight]]))))</f>
        <v/>
      </c>
      <c r="K29" s="25">
        <f>VLOOKUP(METLTask4[[#This Row],[Commander''s Assessment]],Table220[],2,FALSE)*(1-(($I$27:$I$36-1)*(100/MAX($I$27:$I$36)/100)))</f>
        <v>0.7</v>
      </c>
      <c r="L29" s="26"/>
      <c r="M29" s="25"/>
      <c r="N29" s="25"/>
      <c r="O29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29" s="43"/>
    </row>
    <row r="30" spans="2:16" hidden="1" outlineLevel="1" x14ac:dyDescent="0.3">
      <c r="E30" s="27" t="s">
        <v>24</v>
      </c>
      <c r="F30" s="33"/>
      <c r="G30" s="20" t="s">
        <v>1</v>
      </c>
      <c r="H30" s="35" t="str">
        <f>IF(ISBLANK(METLTask4[[#This Row],[CDR''s Weight]]),"",VLOOKUP(METLTask4[[#This Row],[Commander''s Assessment]],Table220[],2,FALSE)*(1-(METLTask4[CDR''s Weight]-1)*(100/MAX(METLTask4[CDR''s Weight])/100)))</f>
        <v/>
      </c>
      <c r="I30" s="28">
        <v>5</v>
      </c>
      <c r="J30" s="24" t="str">
        <f>IF(ISNUMBER(SEARCH("→",METLTask4[[#This Row],[METL Task 4]])),"",IF(G30=$A$5,$B$5*METLTask4[[#This Row],[CDR''s Weight]],IF(G30=$A$6,$B$6*METLTask4[[#This Row],[CDR''s Weight]],IF(G30=$A$7,$B$7*METLTask4[[#This Row],[CDR''s Weight]]))))</f>
        <v/>
      </c>
      <c r="K30" s="25">
        <f>VLOOKUP(METLTask4[[#This Row],[Commander''s Assessment]],Table220[],2,FALSE)*(1-(($I$27:$I$36-1)*(100/MAX($I$27:$I$36)/100)))</f>
        <v>0.6</v>
      </c>
      <c r="L30" s="26"/>
      <c r="M30" s="25"/>
      <c r="N30" s="25"/>
      <c r="O30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30" s="43"/>
    </row>
    <row r="31" spans="2:16" hidden="1" outlineLevel="1" x14ac:dyDescent="0.3">
      <c r="E31" s="27" t="s">
        <v>24</v>
      </c>
      <c r="F31" s="33"/>
      <c r="G31" s="20" t="s">
        <v>1</v>
      </c>
      <c r="H31" s="35" t="str">
        <f>IF(ISBLANK(METLTask4[[#This Row],[CDR''s Weight]]),"",VLOOKUP(METLTask4[[#This Row],[Commander''s Assessment]],Table220[],2,FALSE)*(1-(METLTask4[CDR''s Weight]-1)*(100/MAX(METLTask4[CDR''s Weight])/100)))</f>
        <v/>
      </c>
      <c r="I31" s="28">
        <v>6</v>
      </c>
      <c r="J31" s="24" t="str">
        <f>IF(ISNUMBER(SEARCH("→",METLTask4[[#This Row],[METL Task 4]])),"",IF(G31=$A$5,$B$5*METLTask4[[#This Row],[CDR''s Weight]],IF(G31=$A$6,$B$6*METLTask4[[#This Row],[CDR''s Weight]],IF(G31=$A$7,$B$7*METLTask4[[#This Row],[CDR''s Weight]]))))</f>
        <v/>
      </c>
      <c r="K31" s="25">
        <f>VLOOKUP(METLTask4[[#This Row],[Commander''s Assessment]],Table220[],2,FALSE)*(1-(($I$27:$I$36-1)*(100/MAX($I$27:$I$36)/100)))</f>
        <v>0.5</v>
      </c>
      <c r="L31" s="26"/>
      <c r="M31" s="25"/>
      <c r="N31" s="25"/>
      <c r="O31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31" s="43"/>
    </row>
    <row r="32" spans="2:16" hidden="1" outlineLevel="1" x14ac:dyDescent="0.3">
      <c r="E32" s="27" t="s">
        <v>24</v>
      </c>
      <c r="F32" s="33"/>
      <c r="G32" s="20" t="s">
        <v>2</v>
      </c>
      <c r="H32" s="35" t="str">
        <f>IF(ISBLANK(METLTask4[[#This Row],[CDR''s Weight]]),"",VLOOKUP(METLTask4[[#This Row],[Commander''s Assessment]],Table220[],2,FALSE)*(1-(METLTask4[CDR''s Weight]-1)*(100/MAX(METLTask4[CDR''s Weight])/100)))</f>
        <v/>
      </c>
      <c r="I32" s="28">
        <v>7</v>
      </c>
      <c r="J32" s="24" t="str">
        <f>IF(ISNUMBER(SEARCH("→",METLTask4[[#This Row],[METL Task 4]])),"",IF(G32=$A$5,$B$5*METLTask4[[#This Row],[CDR''s Weight]],IF(G32=$A$6,$B$6*METLTask4[[#This Row],[CDR''s Weight]],IF(G32=$A$7,$B$7*METLTask4[[#This Row],[CDR''s Weight]]))))</f>
        <v/>
      </c>
      <c r="K32" s="25">
        <f>VLOOKUP(METLTask4[[#This Row],[Commander''s Assessment]],Table220[],2,FALSE)*(1-(($I$27:$I$36-1)*(100/MAX($I$27:$I$36)/100)))</f>
        <v>0.19999999999999996</v>
      </c>
      <c r="L32" s="26"/>
      <c r="M32" s="25"/>
      <c r="N32" s="25"/>
      <c r="O32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32" s="43"/>
    </row>
    <row r="33" spans="5:16" hidden="1" outlineLevel="1" x14ac:dyDescent="0.3">
      <c r="E33" s="27" t="s">
        <v>24</v>
      </c>
      <c r="F33" s="33"/>
      <c r="G33" s="20" t="s">
        <v>1</v>
      </c>
      <c r="H33" s="35" t="str">
        <f>IF(ISBLANK(METLTask4[[#This Row],[CDR''s Weight]]),"",VLOOKUP(METLTask4[[#This Row],[Commander''s Assessment]],Table220[],2,FALSE)*(1-(METLTask4[CDR''s Weight]-1)*(100/MAX(METLTask4[CDR''s Weight])/100)))</f>
        <v/>
      </c>
      <c r="I33" s="28">
        <v>8</v>
      </c>
      <c r="J33" s="24" t="str">
        <f>IF(ISNUMBER(SEARCH("→",METLTask4[[#This Row],[METL Task 4]])),"",IF(G33=$A$5,$B$5*METLTask4[[#This Row],[CDR''s Weight]],IF(G33=$A$6,$B$6*METLTask4[[#This Row],[CDR''s Weight]],IF(G33=$A$7,$B$7*METLTask4[[#This Row],[CDR''s Weight]]))))</f>
        <v/>
      </c>
      <c r="K33" s="25">
        <f>VLOOKUP(METLTask4[[#This Row],[Commander''s Assessment]],Table220[],2,FALSE)*(1-(($I$27:$I$36-1)*(100/MAX($I$27:$I$36)/100)))</f>
        <v>0.29999999999999993</v>
      </c>
      <c r="L33" s="26"/>
      <c r="M33" s="25"/>
      <c r="N33" s="25"/>
      <c r="O33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33" s="43"/>
    </row>
    <row r="34" spans="5:16" hidden="1" outlineLevel="1" x14ac:dyDescent="0.3">
      <c r="E34" s="27" t="s">
        <v>24</v>
      </c>
      <c r="F34" s="33"/>
      <c r="G34" s="20" t="s">
        <v>1</v>
      </c>
      <c r="H34" s="35" t="str">
        <f>IF(ISBLANK(METLTask4[[#This Row],[CDR''s Weight]]),"",VLOOKUP(METLTask4[[#This Row],[Commander''s Assessment]],Table220[],2,FALSE)*(1-(METLTask4[CDR''s Weight]-1)*(100/MAX(METLTask4[CDR''s Weight])/100)))</f>
        <v/>
      </c>
      <c r="I34" s="28">
        <v>9</v>
      </c>
      <c r="J34" s="24" t="str">
        <f>IF(ISNUMBER(SEARCH("→",METLTask4[[#This Row],[METL Task 4]])),"",IF(G34=$A$5,$B$5*METLTask4[[#This Row],[CDR''s Weight]],IF(G34=$A$6,$B$6*METLTask4[[#This Row],[CDR''s Weight]],IF(G34=$A$7,$B$7*METLTask4[[#This Row],[CDR''s Weight]]))))</f>
        <v/>
      </c>
      <c r="K34" s="25">
        <f>VLOOKUP(METLTask4[[#This Row],[Commander''s Assessment]],Table220[],2,FALSE)*(1-(($I$27:$I$36-1)*(100/MAX($I$27:$I$36)/100)))</f>
        <v>0.19999999999999996</v>
      </c>
      <c r="L34" s="26"/>
      <c r="M34" s="25"/>
      <c r="N34" s="25"/>
      <c r="O34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34" s="43"/>
    </row>
    <row r="35" spans="5:16" hidden="1" outlineLevel="1" x14ac:dyDescent="0.3">
      <c r="E35" s="27" t="s">
        <v>24</v>
      </c>
      <c r="F35" s="33"/>
      <c r="G35" s="20" t="s">
        <v>3</v>
      </c>
      <c r="H35" s="35" t="str">
        <f>IF(ISBLANK(METLTask4[[#This Row],[CDR''s Weight]]),"",VLOOKUP(METLTask4[[#This Row],[Commander''s Assessment]],Table220[],2,FALSE)*(1-(METLTask4[CDR''s Weight]-1)*(100/MAX(METLTask4[CDR''s Weight])/100)))</f>
        <v/>
      </c>
      <c r="I35" s="28">
        <v>10</v>
      </c>
      <c r="J35" s="24" t="str">
        <f>IF(ISNUMBER(SEARCH("→",METLTask4[[#This Row],[METL Task 4]])),"",IF(G35=$A$5,$B$5*METLTask4[[#This Row],[CDR''s Weight]],IF(G35=$A$6,$B$6*METLTask4[[#This Row],[CDR''s Weight]],IF(G35=$A$7,$B$7*METLTask4[[#This Row],[CDR''s Weight]]))))</f>
        <v/>
      </c>
      <c r="K35" s="25">
        <f>VLOOKUP(METLTask4[[#This Row],[Commander''s Assessment]],Table220[],2,FALSE)*(1-(($I$27:$I$36-1)*(100/MAX($I$27:$I$36)/100)))</f>
        <v>9.999999999999998E-4</v>
      </c>
      <c r="L35" s="26"/>
      <c r="M35" s="25"/>
      <c r="N35" s="25"/>
      <c r="O35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35" s="43"/>
    </row>
    <row r="36" spans="5:16" hidden="1" outlineLevel="1" x14ac:dyDescent="0.3">
      <c r="E36" s="27" t="s">
        <v>24</v>
      </c>
      <c r="F36" s="31"/>
      <c r="G36" s="20" t="s">
        <v>3</v>
      </c>
      <c r="H36" s="35" t="str">
        <f>IF(ISBLANK(METLTask4[[#This Row],[CDR''s Weight]]),"",VLOOKUP(METLTask4[[#This Row],[Commander''s Assessment]],Table220[],2,FALSE)*(1-(METLTask4[CDR''s Weight]-1)*(100/MAX(METLTask4[CDR''s Weight])/100)))</f>
        <v/>
      </c>
      <c r="I36" s="29">
        <v>1</v>
      </c>
      <c r="J36" s="24" t="str">
        <f>IF(ISNUMBER(SEARCH("→",METLTask4[[#This Row],[METL Task 4]])),"",IF(G36=$A$5,$B$5*METLTask4[[#This Row],[CDR''s Weight]],IF(G36=$A$6,$B$6*METLTask4[[#This Row],[CDR''s Weight]],IF(G36=$A$7,$B$7*METLTask4[[#This Row],[CDR''s Weight]]))))</f>
        <v/>
      </c>
      <c r="K36" s="25">
        <f>VLOOKUP(METLTask4[[#This Row],[Commander''s Assessment]],Table220[],2,FALSE)*(1-(($I$27:$I$36-1)*(100/MAX($I$27:$I$36)/100)))</f>
        <v>0.01</v>
      </c>
      <c r="L36" s="26"/>
      <c r="M36" s="21"/>
      <c r="N36" s="21"/>
      <c r="O36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36" s="43"/>
    </row>
    <row r="37" spans="5:16" collapsed="1" x14ac:dyDescent="0.3">
      <c r="E37" s="22" t="s">
        <v>16</v>
      </c>
      <c r="F37" s="20">
        <v>4</v>
      </c>
      <c r="G37" s="20" t="s">
        <v>3</v>
      </c>
      <c r="H37" s="35">
        <f>IF(ISBLANK(METLTask4[[#This Row],[CDR''s Weight]]),"",VLOOKUP(METLTask4[[#This Row],[Commander''s Assessment]],Table220[],2,FALSE)*(1-(METLTask4[CDR''s Weight]-1)*(100/MAX(METLTask4[CDR''s Weight])/100)))</f>
        <v>6.9999999999999993E-3</v>
      </c>
      <c r="I37" s="23"/>
      <c r="J37" s="24">
        <f>IF(ISNUMBER(SEARCH("→",METLTask4[[#This Row],[METL Task 4]])),"",IF(G37=$A$5,$B$5*METLTask4[[#This Row],[CDR''s Weight]],IF(G37=$A$6,$B$6*METLTask4[[#This Row],[CDR''s Weight]],IF(G37=$A$7,$B$7*METLTask4[[#This Row],[CDR''s Weight]]))))</f>
        <v>0.04</v>
      </c>
      <c r="K37" s="25" t="str">
        <f>IF(ISNUMBER(METLTask4[[#This Row],[Total]]),"",VLOOKUP(METLTask4[[#This Row],[Commander''s Assessment]],Table220[],2,FALSE)*(1-(($I$38:$I$47-1)*(100/MAX($I$38:$I$47)/100))))</f>
        <v/>
      </c>
      <c r="L37" s="26">
        <f>SUM(I38:I47)</f>
        <v>55</v>
      </c>
      <c r="M37" s="25">
        <f>SUM(K38:K47)*10</f>
        <v>37.61</v>
      </c>
      <c r="N37" s="25">
        <f>METLTask4[[#This Row],[New SB Total]]/METLTask4[[#This Row],[New SB Weight]]</f>
        <v>0.68381818181818177</v>
      </c>
      <c r="O37" s="2" t="str">
        <f>IF(ISBLANK(METLTask4[[#This Row],[calc]]),"",IF(METLTask4[[#This Row],[calc]]&gt;=0.66,$A$5,IF(AND(METLTask4[[#This Row],[calc]]&lt;0.66,METLTask4[[#This Row],[calc]]&gt;=0.33),$A$6,IF(METLTask4[[#This Row],[calc]]&lt;0.33,"U"))))</f>
        <v>T</v>
      </c>
      <c r="P37" s="43"/>
    </row>
    <row r="38" spans="5:16" hidden="1" outlineLevel="1" x14ac:dyDescent="0.3">
      <c r="E38" s="27" t="s">
        <v>33</v>
      </c>
      <c r="F38" s="33"/>
      <c r="G38" s="20" t="s">
        <v>2</v>
      </c>
      <c r="H38" s="35" t="str">
        <f>IF(ISBLANK(METLTask4[[#This Row],[CDR''s Weight]]),"",VLOOKUP(METLTask4[[#This Row],[Commander''s Assessment]],Table220[],2,FALSE)*(1-(METLTask4[CDR''s Weight]-1)*(100/MAX(METLTask4[CDR''s Weight])/100)))</f>
        <v/>
      </c>
      <c r="I38" s="28">
        <v>2</v>
      </c>
      <c r="J38" s="24" t="str">
        <f>IF(ISNUMBER(SEARCH("→",METLTask4[[#This Row],[METL Task 4]])),"",IF(G38=$A$5,$B$5*METLTask4[[#This Row],[CDR''s Weight]],IF(G38=$A$6,$B$6*METLTask4[[#This Row],[CDR''s Weight]],IF(G38=$A$7,$B$7*METLTask4[[#This Row],[CDR''s Weight]]))))</f>
        <v/>
      </c>
      <c r="K38" s="25">
        <f>VLOOKUP(METLTask4[[#This Row],[Commander''s Assessment]],Table220[],2,FALSE)*(1-(($I$38:$I$47-1)*(100/MAX($I$38:$I$47)/100)))</f>
        <v>0.45</v>
      </c>
      <c r="L38" s="26"/>
      <c r="M38" s="25"/>
      <c r="N38" s="25"/>
      <c r="O38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38" s="43"/>
    </row>
    <row r="39" spans="5:16" hidden="1" outlineLevel="1" x14ac:dyDescent="0.3">
      <c r="E39" s="27" t="s">
        <v>24</v>
      </c>
      <c r="F39" s="33"/>
      <c r="G39" s="20" t="s">
        <v>1</v>
      </c>
      <c r="H39" s="35" t="str">
        <f>IF(ISBLANK(METLTask4[[#This Row],[CDR''s Weight]]),"",VLOOKUP(METLTask4[[#This Row],[Commander''s Assessment]],Table220[],2,FALSE)*(1-(METLTask4[CDR''s Weight]-1)*(100/MAX(METLTask4[CDR''s Weight])/100)))</f>
        <v/>
      </c>
      <c r="I39" s="28">
        <v>3</v>
      </c>
      <c r="J39" s="24" t="str">
        <f>IF(ISNUMBER(SEARCH("→",METLTask4[[#This Row],[METL Task 4]])),"",IF(G39=$A$5,$B$5*METLTask4[[#This Row],[CDR''s Weight]],IF(G39=$A$6,$B$6*METLTask4[[#This Row],[CDR''s Weight]],IF(G39=$A$7,$B$7*METLTask4[[#This Row],[CDR''s Weight]]))))</f>
        <v/>
      </c>
      <c r="K39" s="25">
        <f>VLOOKUP(METLTask4[[#This Row],[Commander''s Assessment]],Table220[],2,FALSE)*(1-(($I$38:$I$47-1)*(100/MAX($I$38:$I$47)/100)))</f>
        <v>0.8</v>
      </c>
      <c r="L39" s="26"/>
      <c r="M39" s="25"/>
      <c r="N39" s="25"/>
      <c r="O39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39" s="43"/>
    </row>
    <row r="40" spans="5:16" hidden="1" outlineLevel="1" x14ac:dyDescent="0.3">
      <c r="E40" s="27" t="s">
        <v>24</v>
      </c>
      <c r="F40" s="31"/>
      <c r="G40" s="20" t="s">
        <v>1</v>
      </c>
      <c r="H40" s="35" t="str">
        <f>IF(ISBLANK(METLTask4[[#This Row],[CDR''s Weight]]),"",VLOOKUP(METLTask4[[#This Row],[Commander''s Assessment]],Table220[],2,FALSE)*(1-(METLTask4[CDR''s Weight]-1)*(100/MAX(METLTask4[CDR''s Weight])/100)))</f>
        <v/>
      </c>
      <c r="I40" s="28">
        <v>4</v>
      </c>
      <c r="J40" s="24" t="str">
        <f>IF(ISNUMBER(SEARCH("→",METLTask4[[#This Row],[METL Task 4]])),"",IF(G40=$A$5,$B$5*METLTask4[[#This Row],[CDR''s Weight]],IF(G40=$A$6,$B$6*METLTask4[[#This Row],[CDR''s Weight]],IF(G40=$A$7,$B$7*METLTask4[[#This Row],[CDR''s Weight]]))))</f>
        <v/>
      </c>
      <c r="K40" s="25">
        <f>VLOOKUP(METLTask4[[#This Row],[Commander''s Assessment]],Table220[],2,FALSE)*(1-(($I$38:$I$47-1)*(100/MAX($I$38:$I$47)/100)))</f>
        <v>0.7</v>
      </c>
      <c r="L40" s="26"/>
      <c r="M40" s="25"/>
      <c r="N40" s="25"/>
      <c r="O40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40" s="43"/>
    </row>
    <row r="41" spans="5:16" hidden="1" outlineLevel="1" x14ac:dyDescent="0.3">
      <c r="E41" s="27" t="s">
        <v>24</v>
      </c>
      <c r="F41" s="33"/>
      <c r="G41" s="20" t="s">
        <v>1</v>
      </c>
      <c r="H41" s="35" t="str">
        <f>IF(ISBLANK(METLTask4[[#This Row],[CDR''s Weight]]),"",VLOOKUP(METLTask4[[#This Row],[Commander''s Assessment]],Table220[],2,FALSE)*(1-(METLTask4[CDR''s Weight]-1)*(100/MAX(METLTask4[CDR''s Weight])/100)))</f>
        <v/>
      </c>
      <c r="I41" s="28">
        <v>5</v>
      </c>
      <c r="J41" s="24" t="str">
        <f>IF(ISNUMBER(SEARCH("→",METLTask4[[#This Row],[METL Task 4]])),"",IF(G41=$A$5,$B$5*METLTask4[[#This Row],[CDR''s Weight]],IF(G41=$A$6,$B$6*METLTask4[[#This Row],[CDR''s Weight]],IF(G41=$A$7,$B$7*METLTask4[[#This Row],[CDR''s Weight]]))))</f>
        <v/>
      </c>
      <c r="K41" s="25">
        <f>VLOOKUP(METLTask4[[#This Row],[Commander''s Assessment]],Table220[],2,FALSE)*(1-(($I$38:$I$47-1)*(100/MAX($I$38:$I$47)/100)))</f>
        <v>0.6</v>
      </c>
      <c r="L41" s="26"/>
      <c r="M41" s="25"/>
      <c r="N41" s="25"/>
      <c r="O41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41" s="43"/>
    </row>
    <row r="42" spans="5:16" hidden="1" outlineLevel="1" x14ac:dyDescent="0.3">
      <c r="E42" s="27" t="s">
        <v>24</v>
      </c>
      <c r="F42" s="33"/>
      <c r="G42" s="20" t="s">
        <v>1</v>
      </c>
      <c r="H42" s="35" t="str">
        <f>IF(ISBLANK(METLTask4[[#This Row],[CDR''s Weight]]),"",VLOOKUP(METLTask4[[#This Row],[Commander''s Assessment]],Table220[],2,FALSE)*(1-(METLTask4[CDR''s Weight]-1)*(100/MAX(METLTask4[CDR''s Weight])/100)))</f>
        <v/>
      </c>
      <c r="I42" s="28">
        <v>6</v>
      </c>
      <c r="J42" s="24" t="str">
        <f>IF(ISNUMBER(SEARCH("→",METLTask4[[#This Row],[METL Task 4]])),"",IF(G42=$A$5,$B$5*METLTask4[[#This Row],[CDR''s Weight]],IF(G42=$A$6,$B$6*METLTask4[[#This Row],[CDR''s Weight]],IF(G42=$A$7,$B$7*METLTask4[[#This Row],[CDR''s Weight]]))))</f>
        <v/>
      </c>
      <c r="K42" s="25">
        <f>VLOOKUP(METLTask4[[#This Row],[Commander''s Assessment]],Table220[],2,FALSE)*(1-(($I$38:$I$47-1)*(100/MAX($I$38:$I$47)/100)))</f>
        <v>0.5</v>
      </c>
      <c r="L42" s="26"/>
      <c r="M42" s="25"/>
      <c r="N42" s="25"/>
      <c r="O42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42" s="43"/>
    </row>
    <row r="43" spans="5:16" hidden="1" outlineLevel="1" x14ac:dyDescent="0.3">
      <c r="E43" s="27" t="s">
        <v>24</v>
      </c>
      <c r="F43" s="33"/>
      <c r="G43" s="20" t="s">
        <v>2</v>
      </c>
      <c r="H43" s="35" t="str">
        <f>IF(ISBLANK(METLTask4[[#This Row],[CDR''s Weight]]),"",VLOOKUP(METLTask4[[#This Row],[Commander''s Assessment]],Table220[],2,FALSE)*(1-(METLTask4[CDR''s Weight]-1)*(100/MAX(METLTask4[CDR''s Weight])/100)))</f>
        <v/>
      </c>
      <c r="I43" s="28">
        <v>7</v>
      </c>
      <c r="J43" s="24" t="str">
        <f>IF(ISNUMBER(SEARCH("→",METLTask4[[#This Row],[METL Task 4]])),"",IF(G43=$A$5,$B$5*METLTask4[[#This Row],[CDR''s Weight]],IF(G43=$A$6,$B$6*METLTask4[[#This Row],[CDR''s Weight]],IF(G43=$A$7,$B$7*METLTask4[[#This Row],[CDR''s Weight]]))))</f>
        <v/>
      </c>
      <c r="K43" s="25">
        <f>VLOOKUP(METLTask4[[#This Row],[Commander''s Assessment]],Table220[],2,FALSE)*(1-(($I$38:$I$47-1)*(100/MAX($I$38:$I$47)/100)))</f>
        <v>0.19999999999999996</v>
      </c>
      <c r="L43" s="26"/>
      <c r="M43" s="25"/>
      <c r="N43" s="25"/>
      <c r="O43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43" s="43"/>
    </row>
    <row r="44" spans="5:16" hidden="1" outlineLevel="1" x14ac:dyDescent="0.3">
      <c r="E44" s="27" t="s">
        <v>24</v>
      </c>
      <c r="F44" s="33"/>
      <c r="G44" s="20" t="s">
        <v>1</v>
      </c>
      <c r="H44" s="35" t="str">
        <f>IF(ISBLANK(METLTask4[[#This Row],[CDR''s Weight]]),"",VLOOKUP(METLTask4[[#This Row],[Commander''s Assessment]],Table220[],2,FALSE)*(1-(METLTask4[CDR''s Weight]-1)*(100/MAX(METLTask4[CDR''s Weight])/100)))</f>
        <v/>
      </c>
      <c r="I44" s="28">
        <v>8</v>
      </c>
      <c r="J44" s="24" t="str">
        <f>IF(ISNUMBER(SEARCH("→",METLTask4[[#This Row],[METL Task 4]])),"",IF(G44=$A$5,$B$5*METLTask4[[#This Row],[CDR''s Weight]],IF(G44=$A$6,$B$6*METLTask4[[#This Row],[CDR''s Weight]],IF(G44=$A$7,$B$7*METLTask4[[#This Row],[CDR''s Weight]]))))</f>
        <v/>
      </c>
      <c r="K44" s="25">
        <f>VLOOKUP(METLTask4[[#This Row],[Commander''s Assessment]],Table220[],2,FALSE)*(1-(($I$38:$I$47-1)*(100/MAX($I$38:$I$47)/100)))</f>
        <v>0.29999999999999993</v>
      </c>
      <c r="L44" s="26"/>
      <c r="M44" s="25"/>
      <c r="N44" s="25"/>
      <c r="O44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44" s="43"/>
    </row>
    <row r="45" spans="5:16" hidden="1" outlineLevel="1" x14ac:dyDescent="0.3">
      <c r="E45" s="27" t="s">
        <v>24</v>
      </c>
      <c r="F45" s="33"/>
      <c r="G45" s="20" t="s">
        <v>1</v>
      </c>
      <c r="H45" s="35" t="str">
        <f>IF(ISBLANK(METLTask4[[#This Row],[CDR''s Weight]]),"",VLOOKUP(METLTask4[[#This Row],[Commander''s Assessment]],Table220[],2,FALSE)*(1-(METLTask4[CDR''s Weight]-1)*(100/MAX(METLTask4[CDR''s Weight])/100)))</f>
        <v/>
      </c>
      <c r="I45" s="28">
        <v>9</v>
      </c>
      <c r="J45" s="24" t="str">
        <f>IF(ISNUMBER(SEARCH("→",METLTask4[[#This Row],[METL Task 4]])),"",IF(G45=$A$5,$B$5*METLTask4[[#This Row],[CDR''s Weight]],IF(G45=$A$6,$B$6*METLTask4[[#This Row],[CDR''s Weight]],IF(G45=$A$7,$B$7*METLTask4[[#This Row],[CDR''s Weight]]))))</f>
        <v/>
      </c>
      <c r="K45" s="25">
        <f>VLOOKUP(METLTask4[[#This Row],[Commander''s Assessment]],Table220[],2,FALSE)*(1-(($I$38:$I$47-1)*(100/MAX($I$38:$I$47)/100)))</f>
        <v>0.19999999999999996</v>
      </c>
      <c r="L45" s="26"/>
      <c r="M45" s="25"/>
      <c r="N45" s="25"/>
      <c r="O45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45" s="43"/>
    </row>
    <row r="46" spans="5:16" hidden="1" outlineLevel="1" x14ac:dyDescent="0.3">
      <c r="E46" s="27" t="s">
        <v>24</v>
      </c>
      <c r="F46" s="33"/>
      <c r="G46" s="20" t="s">
        <v>3</v>
      </c>
      <c r="H46" s="35" t="str">
        <f>IF(ISBLANK(METLTask4[[#This Row],[CDR''s Weight]]),"",VLOOKUP(METLTask4[[#This Row],[Commander''s Assessment]],Table220[],2,FALSE)*(1-(METLTask4[CDR''s Weight]-1)*(100/MAX(METLTask4[CDR''s Weight])/100)))</f>
        <v/>
      </c>
      <c r="I46" s="28">
        <v>10</v>
      </c>
      <c r="J46" s="24" t="str">
        <f>IF(ISNUMBER(SEARCH("→",METLTask4[[#This Row],[METL Task 4]])),"",IF(G46=$A$5,$B$5*METLTask4[[#This Row],[CDR''s Weight]],IF(G46=$A$6,$B$6*METLTask4[[#This Row],[CDR''s Weight]],IF(G46=$A$7,$B$7*METLTask4[[#This Row],[CDR''s Weight]]))))</f>
        <v/>
      </c>
      <c r="K46" s="25">
        <f>VLOOKUP(METLTask4[[#This Row],[Commander''s Assessment]],Table220[],2,FALSE)*(1-(($I$38:$I$47-1)*(100/MAX($I$38:$I$47)/100)))</f>
        <v>9.999999999999998E-4</v>
      </c>
      <c r="L46" s="26"/>
      <c r="M46" s="25"/>
      <c r="N46" s="25"/>
      <c r="O46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46" s="43"/>
    </row>
    <row r="47" spans="5:16" hidden="1" outlineLevel="1" x14ac:dyDescent="0.3">
      <c r="E47" s="27" t="s">
        <v>24</v>
      </c>
      <c r="F47" s="31"/>
      <c r="G47" s="20" t="s">
        <v>3</v>
      </c>
      <c r="H47" s="35" t="str">
        <f>IF(ISBLANK(METLTask4[[#This Row],[CDR''s Weight]]),"",VLOOKUP(METLTask4[[#This Row],[Commander''s Assessment]],Table220[],2,FALSE)*(1-(METLTask4[CDR''s Weight]-1)*(100/MAX(METLTask4[CDR''s Weight])/100)))</f>
        <v/>
      </c>
      <c r="I47" s="29">
        <v>1</v>
      </c>
      <c r="J47" s="24" t="str">
        <f>IF(ISNUMBER(SEARCH("→",METLTask4[[#This Row],[METL Task 4]])),"",IF(G47=$A$5,$B$5*METLTask4[[#This Row],[CDR''s Weight]],IF(G47=$A$6,$B$6*METLTask4[[#This Row],[CDR''s Weight]],IF(G47=$A$7,$B$7*METLTask4[[#This Row],[CDR''s Weight]]))))</f>
        <v/>
      </c>
      <c r="K47" s="25">
        <f>VLOOKUP(METLTask4[[#This Row],[Commander''s Assessment]],Table220[],2,FALSE)*(1-(($I$38:$I$47-1)*(100/MAX($I$38:$I$47)/100)))</f>
        <v>0.01</v>
      </c>
      <c r="L47" s="26"/>
      <c r="M47" s="21"/>
      <c r="N47" s="21"/>
      <c r="O47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47" s="43"/>
    </row>
    <row r="48" spans="5:16" collapsed="1" x14ac:dyDescent="0.3">
      <c r="E48" s="22" t="s">
        <v>16</v>
      </c>
      <c r="F48" s="20">
        <v>5</v>
      </c>
      <c r="G48" s="20" t="s">
        <v>3</v>
      </c>
      <c r="H48" s="35">
        <f>IF(ISBLANK(METLTask4[[#This Row],[CDR''s Weight]]),"",VLOOKUP(METLTask4[[#This Row],[Commander''s Assessment]],Table220[],2,FALSE)*(1-(METLTask4[CDR''s Weight]-1)*(100/MAX(METLTask4[CDR''s Weight])/100)))</f>
        <v>6.0000000000000001E-3</v>
      </c>
      <c r="I48" s="23"/>
      <c r="J48" s="24">
        <f>IF(ISNUMBER(SEARCH("→",METLTask4[[#This Row],[METL Task 4]])),"",IF(G48=$A$5,$B$5*METLTask4[[#This Row],[CDR''s Weight]],IF(G48=$A$6,$B$6*METLTask4[[#This Row],[CDR''s Weight]],IF(G48=$A$7,$B$7*METLTask4[[#This Row],[CDR''s Weight]]))))</f>
        <v>0.05</v>
      </c>
      <c r="K48" s="25" t="str">
        <f>IF(ISNUMBER(METLTask4[[#This Row],[Total]]),"",VLOOKUP(METLTask4[[#This Row],[Commander''s Assessment]],Table220[],2,FALSE)*(1-(($I$49:$I$58-1)*(100/MAX($I$49:$I$58)/100))))</f>
        <v/>
      </c>
      <c r="L48" s="26">
        <f>SUM(I49:I58)</f>
        <v>55</v>
      </c>
      <c r="M48" s="25">
        <f>SUM(K49:K58)*10</f>
        <v>37.61</v>
      </c>
      <c r="N48" s="25">
        <f>METLTask4[[#This Row],[New SB Total]]/METLTask4[[#This Row],[New SB Weight]]</f>
        <v>0.68381818181818177</v>
      </c>
      <c r="O48" s="2" t="str">
        <f>IF(ISBLANK(METLTask4[[#This Row],[calc]]),"",IF(METLTask4[[#This Row],[calc]]&gt;=0.66,$A$5,IF(AND(METLTask4[[#This Row],[calc]]&lt;0.66,METLTask4[[#This Row],[calc]]&gt;=0.33),$A$6,IF(METLTask4[[#This Row],[calc]]&lt;0.33,"U"))))</f>
        <v>T</v>
      </c>
      <c r="P48" s="43"/>
    </row>
    <row r="49" spans="5:16" hidden="1" outlineLevel="1" x14ac:dyDescent="0.3">
      <c r="E49" s="27" t="s">
        <v>33</v>
      </c>
      <c r="F49" s="33"/>
      <c r="G49" s="20" t="s">
        <v>2</v>
      </c>
      <c r="H49" s="35" t="str">
        <f>IF(ISBLANK(METLTask4[[#This Row],[CDR''s Weight]]),"",VLOOKUP(METLTask4[[#This Row],[Commander''s Assessment]],Table220[],2,FALSE)*(1-(METLTask4[CDR''s Weight]-1)*(100/MAX(METLTask4[CDR''s Weight])/100)))</f>
        <v/>
      </c>
      <c r="I49" s="28">
        <v>2</v>
      </c>
      <c r="J49" s="24" t="str">
        <f>IF(ISNUMBER(SEARCH("→",METLTask4[[#This Row],[METL Task 4]])),"",IF(G49=$A$5,$B$5*METLTask4[[#This Row],[CDR''s Weight]],IF(G49=$A$6,$B$6*METLTask4[[#This Row],[CDR''s Weight]],IF(G49=$A$7,$B$7*METLTask4[[#This Row],[CDR''s Weight]]))))</f>
        <v/>
      </c>
      <c r="K49" s="25">
        <f>VLOOKUP(METLTask4[[#This Row],[Commander''s Assessment]],Table220[],2,FALSE)*(1-(($I$49:$I$58-1)*(100/MAX($I$49:$I$58)/100)))</f>
        <v>0.45</v>
      </c>
      <c r="L49" s="26"/>
      <c r="M49" s="25"/>
      <c r="N49" s="25"/>
      <c r="O49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49" s="43"/>
    </row>
    <row r="50" spans="5:16" hidden="1" outlineLevel="1" x14ac:dyDescent="0.3">
      <c r="E50" s="27" t="s">
        <v>24</v>
      </c>
      <c r="F50" s="33"/>
      <c r="G50" s="20" t="s">
        <v>1</v>
      </c>
      <c r="H50" s="35" t="str">
        <f>IF(ISBLANK(METLTask4[[#This Row],[CDR''s Weight]]),"",VLOOKUP(METLTask4[[#This Row],[Commander''s Assessment]],Table220[],2,FALSE)*(1-(METLTask4[CDR''s Weight]-1)*(100/MAX(METLTask4[CDR''s Weight])/100)))</f>
        <v/>
      </c>
      <c r="I50" s="28">
        <v>3</v>
      </c>
      <c r="J50" s="24" t="str">
        <f>IF(ISNUMBER(SEARCH("→",METLTask4[[#This Row],[METL Task 4]])),"",IF(G50=$A$5,$B$5*METLTask4[[#This Row],[CDR''s Weight]],IF(G50=$A$6,$B$6*METLTask4[[#This Row],[CDR''s Weight]],IF(G50=$A$7,$B$7*METLTask4[[#This Row],[CDR''s Weight]]))))</f>
        <v/>
      </c>
      <c r="K50" s="25">
        <f>VLOOKUP(METLTask4[[#This Row],[Commander''s Assessment]],Table220[],2,FALSE)*(1-(($I$49:$I$58-1)*(100/MAX($I$49:$I$58)/100)))</f>
        <v>0.8</v>
      </c>
      <c r="L50" s="26"/>
      <c r="M50" s="25"/>
      <c r="N50" s="25"/>
      <c r="O50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50" s="43"/>
    </row>
    <row r="51" spans="5:16" hidden="1" outlineLevel="1" x14ac:dyDescent="0.3">
      <c r="E51" s="27" t="s">
        <v>24</v>
      </c>
      <c r="F51" s="31"/>
      <c r="G51" s="20" t="s">
        <v>1</v>
      </c>
      <c r="H51" s="35" t="str">
        <f>IF(ISBLANK(METLTask4[[#This Row],[CDR''s Weight]]),"",VLOOKUP(METLTask4[[#This Row],[Commander''s Assessment]],Table220[],2,FALSE)*(1-(METLTask4[CDR''s Weight]-1)*(100/MAX(METLTask4[CDR''s Weight])/100)))</f>
        <v/>
      </c>
      <c r="I51" s="28">
        <v>4</v>
      </c>
      <c r="J51" s="24" t="str">
        <f>IF(ISNUMBER(SEARCH("→",METLTask4[[#This Row],[METL Task 4]])),"",IF(G51=$A$5,$B$5*METLTask4[[#This Row],[CDR''s Weight]],IF(G51=$A$6,$B$6*METLTask4[[#This Row],[CDR''s Weight]],IF(G51=$A$7,$B$7*METLTask4[[#This Row],[CDR''s Weight]]))))</f>
        <v/>
      </c>
      <c r="K51" s="25">
        <f>VLOOKUP(METLTask4[[#This Row],[Commander''s Assessment]],Table220[],2,FALSE)*(1-(($I$49:$I$58-1)*(100/MAX($I$49:$I$58)/100)))</f>
        <v>0.7</v>
      </c>
      <c r="L51" s="26"/>
      <c r="M51" s="25"/>
      <c r="N51" s="25"/>
      <c r="O51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51" s="43"/>
    </row>
    <row r="52" spans="5:16" hidden="1" outlineLevel="1" x14ac:dyDescent="0.3">
      <c r="E52" s="27" t="s">
        <v>24</v>
      </c>
      <c r="F52" s="33"/>
      <c r="G52" s="20" t="s">
        <v>1</v>
      </c>
      <c r="H52" s="35" t="str">
        <f>IF(ISBLANK(METLTask4[[#This Row],[CDR''s Weight]]),"",VLOOKUP(METLTask4[[#This Row],[Commander''s Assessment]],Table220[],2,FALSE)*(1-(METLTask4[CDR''s Weight]-1)*(100/MAX(METLTask4[CDR''s Weight])/100)))</f>
        <v/>
      </c>
      <c r="I52" s="28">
        <v>5</v>
      </c>
      <c r="J52" s="24" t="str">
        <f>IF(ISNUMBER(SEARCH("→",METLTask4[[#This Row],[METL Task 4]])),"",IF(G52=$A$5,$B$5*METLTask4[[#This Row],[CDR''s Weight]],IF(G52=$A$6,$B$6*METLTask4[[#This Row],[CDR''s Weight]],IF(G52=$A$7,$B$7*METLTask4[[#This Row],[CDR''s Weight]]))))</f>
        <v/>
      </c>
      <c r="K52" s="25">
        <f>VLOOKUP(METLTask4[[#This Row],[Commander''s Assessment]],Table220[],2,FALSE)*(1-(($I$49:$I$58-1)*(100/MAX($I$49:$I$58)/100)))</f>
        <v>0.6</v>
      </c>
      <c r="L52" s="26"/>
      <c r="M52" s="25"/>
      <c r="N52" s="25"/>
      <c r="O52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52" s="43"/>
    </row>
    <row r="53" spans="5:16" hidden="1" outlineLevel="1" x14ac:dyDescent="0.3">
      <c r="E53" s="27" t="s">
        <v>24</v>
      </c>
      <c r="F53" s="33"/>
      <c r="G53" s="20" t="s">
        <v>1</v>
      </c>
      <c r="H53" s="35" t="str">
        <f>IF(ISBLANK(METLTask4[[#This Row],[CDR''s Weight]]),"",VLOOKUP(METLTask4[[#This Row],[Commander''s Assessment]],Table220[],2,FALSE)*(1-(METLTask4[CDR''s Weight]-1)*(100/MAX(METLTask4[CDR''s Weight])/100)))</f>
        <v/>
      </c>
      <c r="I53" s="28">
        <v>6</v>
      </c>
      <c r="J53" s="24" t="str">
        <f>IF(ISNUMBER(SEARCH("→",METLTask4[[#This Row],[METL Task 4]])),"",IF(G53=$A$5,$B$5*METLTask4[[#This Row],[CDR''s Weight]],IF(G53=$A$6,$B$6*METLTask4[[#This Row],[CDR''s Weight]],IF(G53=$A$7,$B$7*METLTask4[[#This Row],[CDR''s Weight]]))))</f>
        <v/>
      </c>
      <c r="K53" s="25">
        <f>VLOOKUP(METLTask4[[#This Row],[Commander''s Assessment]],Table220[],2,FALSE)*(1-(($I$49:$I$58-1)*(100/MAX($I$49:$I$58)/100)))</f>
        <v>0.5</v>
      </c>
      <c r="L53" s="26"/>
      <c r="M53" s="25"/>
      <c r="N53" s="25"/>
      <c r="O53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53" s="43"/>
    </row>
    <row r="54" spans="5:16" hidden="1" outlineLevel="1" x14ac:dyDescent="0.3">
      <c r="E54" s="27" t="s">
        <v>24</v>
      </c>
      <c r="F54" s="33"/>
      <c r="G54" s="20" t="s">
        <v>2</v>
      </c>
      <c r="H54" s="35" t="str">
        <f>IF(ISBLANK(METLTask4[[#This Row],[CDR''s Weight]]),"",VLOOKUP(METLTask4[[#This Row],[Commander''s Assessment]],Table220[],2,FALSE)*(1-(METLTask4[CDR''s Weight]-1)*(100/MAX(METLTask4[CDR''s Weight])/100)))</f>
        <v/>
      </c>
      <c r="I54" s="28">
        <v>7</v>
      </c>
      <c r="J54" s="24" t="str">
        <f>IF(ISNUMBER(SEARCH("→",METLTask4[[#This Row],[METL Task 4]])),"",IF(G54=$A$5,$B$5*METLTask4[[#This Row],[CDR''s Weight]],IF(G54=$A$6,$B$6*METLTask4[[#This Row],[CDR''s Weight]],IF(G54=$A$7,$B$7*METLTask4[[#This Row],[CDR''s Weight]]))))</f>
        <v/>
      </c>
      <c r="K54" s="25">
        <f>VLOOKUP(METLTask4[[#This Row],[Commander''s Assessment]],Table220[],2,FALSE)*(1-(($I$49:$I$58-1)*(100/MAX($I$49:$I$58)/100)))</f>
        <v>0.19999999999999996</v>
      </c>
      <c r="L54" s="26"/>
      <c r="M54" s="25"/>
      <c r="N54" s="25"/>
      <c r="O54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54" s="43"/>
    </row>
    <row r="55" spans="5:16" hidden="1" outlineLevel="1" x14ac:dyDescent="0.3">
      <c r="E55" s="27" t="s">
        <v>24</v>
      </c>
      <c r="F55" s="33"/>
      <c r="G55" s="20" t="s">
        <v>1</v>
      </c>
      <c r="H55" s="35" t="str">
        <f>IF(ISBLANK(METLTask4[[#This Row],[CDR''s Weight]]),"",VLOOKUP(METLTask4[[#This Row],[Commander''s Assessment]],Table220[],2,FALSE)*(1-(METLTask4[CDR''s Weight]-1)*(100/MAX(METLTask4[CDR''s Weight])/100)))</f>
        <v/>
      </c>
      <c r="I55" s="28">
        <v>8</v>
      </c>
      <c r="J55" s="24" t="str">
        <f>IF(ISNUMBER(SEARCH("→",METLTask4[[#This Row],[METL Task 4]])),"",IF(G55=$A$5,$B$5*METLTask4[[#This Row],[CDR''s Weight]],IF(G55=$A$6,$B$6*METLTask4[[#This Row],[CDR''s Weight]],IF(G55=$A$7,$B$7*METLTask4[[#This Row],[CDR''s Weight]]))))</f>
        <v/>
      </c>
      <c r="K55" s="25">
        <f>VLOOKUP(METLTask4[[#This Row],[Commander''s Assessment]],Table220[],2,FALSE)*(1-(($I$49:$I$58-1)*(100/MAX($I$49:$I$58)/100)))</f>
        <v>0.29999999999999993</v>
      </c>
      <c r="L55" s="26"/>
      <c r="M55" s="25"/>
      <c r="N55" s="25"/>
      <c r="O55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55" s="43"/>
    </row>
    <row r="56" spans="5:16" hidden="1" outlineLevel="1" x14ac:dyDescent="0.3">
      <c r="E56" s="27" t="s">
        <v>24</v>
      </c>
      <c r="F56" s="33"/>
      <c r="G56" s="20" t="s">
        <v>1</v>
      </c>
      <c r="H56" s="35" t="str">
        <f>IF(ISBLANK(METLTask4[[#This Row],[CDR''s Weight]]),"",VLOOKUP(METLTask4[[#This Row],[Commander''s Assessment]],Table220[],2,FALSE)*(1-(METLTask4[CDR''s Weight]-1)*(100/MAX(METLTask4[CDR''s Weight])/100)))</f>
        <v/>
      </c>
      <c r="I56" s="28">
        <v>9</v>
      </c>
      <c r="J56" s="24" t="str">
        <f>IF(ISNUMBER(SEARCH("→",METLTask4[[#This Row],[METL Task 4]])),"",IF(G56=$A$5,$B$5*METLTask4[[#This Row],[CDR''s Weight]],IF(G56=$A$6,$B$6*METLTask4[[#This Row],[CDR''s Weight]],IF(G56=$A$7,$B$7*METLTask4[[#This Row],[CDR''s Weight]]))))</f>
        <v/>
      </c>
      <c r="K56" s="25">
        <f>VLOOKUP(METLTask4[[#This Row],[Commander''s Assessment]],Table220[],2,FALSE)*(1-(($I$49:$I$58-1)*(100/MAX($I$49:$I$58)/100)))</f>
        <v>0.19999999999999996</v>
      </c>
      <c r="L56" s="26"/>
      <c r="M56" s="25"/>
      <c r="N56" s="25"/>
      <c r="O56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56" s="43"/>
    </row>
    <row r="57" spans="5:16" hidden="1" outlineLevel="1" x14ac:dyDescent="0.3">
      <c r="E57" s="27" t="s">
        <v>24</v>
      </c>
      <c r="F57" s="33"/>
      <c r="G57" s="20" t="s">
        <v>3</v>
      </c>
      <c r="H57" s="35" t="str">
        <f>IF(ISBLANK(METLTask4[[#This Row],[CDR''s Weight]]),"",VLOOKUP(METLTask4[[#This Row],[Commander''s Assessment]],Table220[],2,FALSE)*(1-(METLTask4[CDR''s Weight]-1)*(100/MAX(METLTask4[CDR''s Weight])/100)))</f>
        <v/>
      </c>
      <c r="I57" s="28">
        <v>10</v>
      </c>
      <c r="J57" s="24" t="str">
        <f>IF(ISNUMBER(SEARCH("→",METLTask4[[#This Row],[METL Task 4]])),"",IF(G57=$A$5,$B$5*METLTask4[[#This Row],[CDR''s Weight]],IF(G57=$A$6,$B$6*METLTask4[[#This Row],[CDR''s Weight]],IF(G57=$A$7,$B$7*METLTask4[[#This Row],[CDR''s Weight]]))))</f>
        <v/>
      </c>
      <c r="K57" s="25">
        <f>VLOOKUP(METLTask4[[#This Row],[Commander''s Assessment]],Table220[],2,FALSE)*(1-(($I$49:$I$58-1)*(100/MAX($I$49:$I$58)/100)))</f>
        <v>9.999999999999998E-4</v>
      </c>
      <c r="L57" s="26"/>
      <c r="M57" s="25"/>
      <c r="N57" s="25"/>
      <c r="O57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57" s="43"/>
    </row>
    <row r="58" spans="5:16" hidden="1" outlineLevel="1" x14ac:dyDescent="0.3">
      <c r="E58" s="27" t="s">
        <v>24</v>
      </c>
      <c r="F58" s="31"/>
      <c r="G58" s="20" t="s">
        <v>3</v>
      </c>
      <c r="H58" s="35" t="str">
        <f>IF(ISBLANK(METLTask4[[#This Row],[CDR''s Weight]]),"",VLOOKUP(METLTask4[[#This Row],[Commander''s Assessment]],Table220[],2,FALSE)*(1-(METLTask4[CDR''s Weight]-1)*(100/MAX(METLTask4[CDR''s Weight])/100)))</f>
        <v/>
      </c>
      <c r="I58" s="29">
        <v>1</v>
      </c>
      <c r="J58" s="24" t="str">
        <f>IF(ISNUMBER(SEARCH("→",METLTask4[[#This Row],[METL Task 4]])),"",IF(G58=$A$5,$B$5*METLTask4[[#This Row],[CDR''s Weight]],IF(G58=$A$6,$B$6*METLTask4[[#This Row],[CDR''s Weight]],IF(G58=$A$7,$B$7*METLTask4[[#This Row],[CDR''s Weight]]))))</f>
        <v/>
      </c>
      <c r="K58" s="25">
        <f>VLOOKUP(METLTask4[[#This Row],[Commander''s Assessment]],Table220[],2,FALSE)*(1-(($I$49:$I$58-1)*(100/MAX($I$49:$I$58)/100)))</f>
        <v>0.01</v>
      </c>
      <c r="L58" s="26"/>
      <c r="M58" s="21"/>
      <c r="N58" s="21"/>
      <c r="O58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58" s="43"/>
    </row>
    <row r="59" spans="5:16" collapsed="1" x14ac:dyDescent="0.3">
      <c r="E59" s="22" t="s">
        <v>16</v>
      </c>
      <c r="F59" s="20">
        <v>6</v>
      </c>
      <c r="G59" s="20" t="s">
        <v>18</v>
      </c>
      <c r="H59" s="35">
        <f>IF(ISBLANK(METLTask4[[#This Row],[CDR''s Weight]]),"",VLOOKUP(METLTask4[[#This Row],[Commander''s Assessment]],Table220[],2,FALSE)*(1-(METLTask4[CDR''s Weight]-1)*(100/MAX(METLTask4[CDR''s Weight])/100)))</f>
        <v>0.5</v>
      </c>
      <c r="I59" s="23"/>
      <c r="J59" s="24">
        <f>IF(ISNUMBER(SEARCH("→",METLTask4[[#This Row],[METL Task 4]])),"",IF(G59=$A$5,$B$5*METLTask4[[#This Row],[CDR''s Weight]],IF(G59=$A$6,$B$6*METLTask4[[#This Row],[CDR''s Weight]],IF(G59=$A$7,$B$7*METLTask4[[#This Row],[CDR''s Weight]]))))</f>
        <v>6</v>
      </c>
      <c r="K59" s="25" t="str">
        <f>IF(ISNUMBER(METLTask4[[#This Row],[Total]]),"",VLOOKUP(METLTask4[[#This Row],[Commander''s Assessment]],Table220[],2,FALSE)*(1-(($I$60:$I$69-1)*(100/MAX($I$60:$I$69)/100))))</f>
        <v/>
      </c>
      <c r="L59" s="26">
        <f>SUM(I60:I69)</f>
        <v>55</v>
      </c>
      <c r="M59" s="25">
        <f>SUM(K60:K69)*10</f>
        <v>37.61</v>
      </c>
      <c r="N59" s="25">
        <f>METLTask4[[#This Row],[New SB Total]]/METLTask4[[#This Row],[New SB Weight]]</f>
        <v>0.68381818181818177</v>
      </c>
      <c r="O59" s="2" t="str">
        <f>IF(ISBLANK(METLTask4[[#This Row],[calc]]),"",IF(METLTask4[[#This Row],[calc]]&gt;=0.66,$A$5,IF(AND(METLTask4[[#This Row],[calc]]&lt;0.66,METLTask4[[#This Row],[calc]]&gt;=0.33),$A$6,IF(METLTask4[[#This Row],[calc]]&lt;0.33,"U"))))</f>
        <v>T</v>
      </c>
      <c r="P59" s="43"/>
    </row>
    <row r="60" spans="5:16" hidden="1" outlineLevel="1" x14ac:dyDescent="0.3">
      <c r="E60" s="27" t="s">
        <v>33</v>
      </c>
      <c r="F60" s="33"/>
      <c r="G60" s="20" t="s">
        <v>2</v>
      </c>
      <c r="H60" s="35" t="str">
        <f>IF(ISBLANK(METLTask4[[#This Row],[CDR''s Weight]]),"",VLOOKUP(METLTask4[[#This Row],[Commander''s Assessment]],Table220[],2,FALSE)*(1-(METLTask4[CDR''s Weight]-1)*(100/MAX(METLTask4[CDR''s Weight])/100)))</f>
        <v/>
      </c>
      <c r="I60" s="28">
        <v>2</v>
      </c>
      <c r="J60" s="24" t="str">
        <f>IF(ISNUMBER(SEARCH("→",METLTask4[[#This Row],[METL Task 4]])),"",IF(G60=$A$5,$B$5*METLTask4[[#This Row],[CDR''s Weight]],IF(G60=$A$6,$B$6*METLTask4[[#This Row],[CDR''s Weight]],IF(G60=$A$7,$B$7*METLTask4[[#This Row],[CDR''s Weight]]))))</f>
        <v/>
      </c>
      <c r="K60" s="25">
        <f>VLOOKUP(METLTask4[[#This Row],[Commander''s Assessment]],Table220[],2,FALSE)*(1-(($I$60:$I$69-1)*(100/MAX($I$60:$I$69)/100)))</f>
        <v>0.45</v>
      </c>
      <c r="L60" s="26"/>
      <c r="M60" s="25"/>
      <c r="N60" s="25"/>
      <c r="O60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60" s="43"/>
    </row>
    <row r="61" spans="5:16" hidden="1" outlineLevel="1" x14ac:dyDescent="0.3">
      <c r="E61" s="27" t="s">
        <v>24</v>
      </c>
      <c r="F61" s="33"/>
      <c r="G61" s="20" t="s">
        <v>1</v>
      </c>
      <c r="H61" s="35" t="str">
        <f>IF(ISBLANK(METLTask4[[#This Row],[CDR''s Weight]]),"",VLOOKUP(METLTask4[[#This Row],[Commander''s Assessment]],Table220[],2,FALSE)*(1-(METLTask4[CDR''s Weight]-1)*(100/MAX(METLTask4[CDR''s Weight])/100)))</f>
        <v/>
      </c>
      <c r="I61" s="28">
        <v>3</v>
      </c>
      <c r="J61" s="24" t="str">
        <f>IF(ISNUMBER(SEARCH("→",METLTask4[[#This Row],[METL Task 4]])),"",IF(G61=$A$5,$B$5*METLTask4[[#This Row],[CDR''s Weight]],IF(G61=$A$6,$B$6*METLTask4[[#This Row],[CDR''s Weight]],IF(G61=$A$7,$B$7*METLTask4[[#This Row],[CDR''s Weight]]))))</f>
        <v/>
      </c>
      <c r="K61" s="25">
        <f>VLOOKUP(METLTask4[[#This Row],[Commander''s Assessment]],Table220[],2,FALSE)*(1-(($I$60:$I$69-1)*(100/MAX($I$60:$I$69)/100)))</f>
        <v>0.8</v>
      </c>
      <c r="L61" s="26"/>
      <c r="M61" s="25"/>
      <c r="N61" s="25"/>
      <c r="O61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61" s="43"/>
    </row>
    <row r="62" spans="5:16" hidden="1" outlineLevel="1" x14ac:dyDescent="0.3">
      <c r="E62" s="27" t="s">
        <v>24</v>
      </c>
      <c r="F62" s="31"/>
      <c r="G62" s="20" t="s">
        <v>1</v>
      </c>
      <c r="H62" s="35" t="str">
        <f>IF(ISBLANK(METLTask4[[#This Row],[CDR''s Weight]]),"",VLOOKUP(METLTask4[[#This Row],[Commander''s Assessment]],Table220[],2,FALSE)*(1-(METLTask4[CDR''s Weight]-1)*(100/MAX(METLTask4[CDR''s Weight])/100)))</f>
        <v/>
      </c>
      <c r="I62" s="28">
        <v>4</v>
      </c>
      <c r="J62" s="24" t="str">
        <f>IF(ISNUMBER(SEARCH("→",METLTask4[[#This Row],[METL Task 4]])),"",IF(G62=$A$5,$B$5*METLTask4[[#This Row],[CDR''s Weight]],IF(G62=$A$6,$B$6*METLTask4[[#This Row],[CDR''s Weight]],IF(G62=$A$7,$B$7*METLTask4[[#This Row],[CDR''s Weight]]))))</f>
        <v/>
      </c>
      <c r="K62" s="25">
        <f>VLOOKUP(METLTask4[[#This Row],[Commander''s Assessment]],Table220[],2,FALSE)*(1-(($I$60:$I$69-1)*(100/MAX($I$60:$I$69)/100)))</f>
        <v>0.7</v>
      </c>
      <c r="L62" s="26"/>
      <c r="M62" s="25"/>
      <c r="N62" s="25"/>
      <c r="O62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62" s="43"/>
    </row>
    <row r="63" spans="5:16" hidden="1" outlineLevel="1" x14ac:dyDescent="0.3">
      <c r="E63" s="27" t="s">
        <v>24</v>
      </c>
      <c r="F63" s="33"/>
      <c r="G63" s="20" t="s">
        <v>1</v>
      </c>
      <c r="H63" s="35" t="str">
        <f>IF(ISBLANK(METLTask4[[#This Row],[CDR''s Weight]]),"",VLOOKUP(METLTask4[[#This Row],[Commander''s Assessment]],Table220[],2,FALSE)*(1-(METLTask4[CDR''s Weight]-1)*(100/MAX(METLTask4[CDR''s Weight])/100)))</f>
        <v/>
      </c>
      <c r="I63" s="28">
        <v>5</v>
      </c>
      <c r="J63" s="24" t="str">
        <f>IF(ISNUMBER(SEARCH("→",METLTask4[[#This Row],[METL Task 4]])),"",IF(G63=$A$5,$B$5*METLTask4[[#This Row],[CDR''s Weight]],IF(G63=$A$6,$B$6*METLTask4[[#This Row],[CDR''s Weight]],IF(G63=$A$7,$B$7*METLTask4[[#This Row],[CDR''s Weight]]))))</f>
        <v/>
      </c>
      <c r="K63" s="25">
        <f>VLOOKUP(METLTask4[[#This Row],[Commander''s Assessment]],Table220[],2,FALSE)*(1-(($I$60:$I$69-1)*(100/MAX($I$60:$I$69)/100)))</f>
        <v>0.6</v>
      </c>
      <c r="L63" s="26"/>
      <c r="M63" s="25"/>
      <c r="N63" s="25"/>
      <c r="O63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63" s="43"/>
    </row>
    <row r="64" spans="5:16" hidden="1" outlineLevel="1" x14ac:dyDescent="0.3">
      <c r="E64" s="27" t="s">
        <v>24</v>
      </c>
      <c r="F64" s="33"/>
      <c r="G64" s="20" t="s">
        <v>1</v>
      </c>
      <c r="H64" s="35" t="str">
        <f>IF(ISBLANK(METLTask4[[#This Row],[CDR''s Weight]]),"",VLOOKUP(METLTask4[[#This Row],[Commander''s Assessment]],Table220[],2,FALSE)*(1-(METLTask4[CDR''s Weight]-1)*(100/MAX(METLTask4[CDR''s Weight])/100)))</f>
        <v/>
      </c>
      <c r="I64" s="28">
        <v>6</v>
      </c>
      <c r="J64" s="24" t="str">
        <f>IF(ISNUMBER(SEARCH("→",METLTask4[[#This Row],[METL Task 4]])),"",IF(G64=$A$5,$B$5*METLTask4[[#This Row],[CDR''s Weight]],IF(G64=$A$6,$B$6*METLTask4[[#This Row],[CDR''s Weight]],IF(G64=$A$7,$B$7*METLTask4[[#This Row],[CDR''s Weight]]))))</f>
        <v/>
      </c>
      <c r="K64" s="25">
        <f>VLOOKUP(METLTask4[[#This Row],[Commander''s Assessment]],Table220[],2,FALSE)*(1-(($I$60:$I$69-1)*(100/MAX($I$60:$I$69)/100)))</f>
        <v>0.5</v>
      </c>
      <c r="L64" s="26"/>
      <c r="M64" s="25"/>
      <c r="N64" s="25"/>
      <c r="O64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64" s="43"/>
    </row>
    <row r="65" spans="5:16" hidden="1" outlineLevel="1" x14ac:dyDescent="0.3">
      <c r="E65" s="27" t="s">
        <v>24</v>
      </c>
      <c r="F65" s="33"/>
      <c r="G65" s="20" t="s">
        <v>2</v>
      </c>
      <c r="H65" s="35" t="str">
        <f>IF(ISBLANK(METLTask4[[#This Row],[CDR''s Weight]]),"",VLOOKUP(METLTask4[[#This Row],[Commander''s Assessment]],Table220[],2,FALSE)*(1-(METLTask4[CDR''s Weight]-1)*(100/MAX(METLTask4[CDR''s Weight])/100)))</f>
        <v/>
      </c>
      <c r="I65" s="28">
        <v>7</v>
      </c>
      <c r="J65" s="24" t="str">
        <f>IF(ISNUMBER(SEARCH("→",METLTask4[[#This Row],[METL Task 4]])),"",IF(G65=$A$5,$B$5*METLTask4[[#This Row],[CDR''s Weight]],IF(G65=$A$6,$B$6*METLTask4[[#This Row],[CDR''s Weight]],IF(G65=$A$7,$B$7*METLTask4[[#This Row],[CDR''s Weight]]))))</f>
        <v/>
      </c>
      <c r="K65" s="25">
        <f>VLOOKUP(METLTask4[[#This Row],[Commander''s Assessment]],Table220[],2,FALSE)*(1-(($I$60:$I$69-1)*(100/MAX($I$60:$I$69)/100)))</f>
        <v>0.19999999999999996</v>
      </c>
      <c r="L65" s="26"/>
      <c r="M65" s="25"/>
      <c r="N65" s="25"/>
      <c r="O65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65" s="43"/>
    </row>
    <row r="66" spans="5:16" hidden="1" outlineLevel="1" x14ac:dyDescent="0.3">
      <c r="E66" s="27" t="s">
        <v>24</v>
      </c>
      <c r="F66" s="33"/>
      <c r="G66" s="20" t="s">
        <v>1</v>
      </c>
      <c r="H66" s="35" t="str">
        <f>IF(ISBLANK(METLTask4[[#This Row],[CDR''s Weight]]),"",VLOOKUP(METLTask4[[#This Row],[Commander''s Assessment]],Table220[],2,FALSE)*(1-(METLTask4[CDR''s Weight]-1)*(100/MAX(METLTask4[CDR''s Weight])/100)))</f>
        <v/>
      </c>
      <c r="I66" s="28">
        <v>8</v>
      </c>
      <c r="J66" s="24" t="str">
        <f>IF(ISNUMBER(SEARCH("→",METLTask4[[#This Row],[METL Task 4]])),"",IF(G66=$A$5,$B$5*METLTask4[[#This Row],[CDR''s Weight]],IF(G66=$A$6,$B$6*METLTask4[[#This Row],[CDR''s Weight]],IF(G66=$A$7,$B$7*METLTask4[[#This Row],[CDR''s Weight]]))))</f>
        <v/>
      </c>
      <c r="K66" s="25">
        <f>VLOOKUP(METLTask4[[#This Row],[Commander''s Assessment]],Table220[],2,FALSE)*(1-(($I$60:$I$69-1)*(100/MAX($I$60:$I$69)/100)))</f>
        <v>0.29999999999999993</v>
      </c>
      <c r="L66" s="26"/>
      <c r="M66" s="25"/>
      <c r="N66" s="25"/>
      <c r="O66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66" s="43"/>
    </row>
    <row r="67" spans="5:16" hidden="1" outlineLevel="1" x14ac:dyDescent="0.3">
      <c r="E67" s="27" t="s">
        <v>24</v>
      </c>
      <c r="F67" s="33"/>
      <c r="G67" s="20" t="s">
        <v>1</v>
      </c>
      <c r="H67" s="35" t="str">
        <f>IF(ISBLANK(METLTask4[[#This Row],[CDR''s Weight]]),"",VLOOKUP(METLTask4[[#This Row],[Commander''s Assessment]],Table220[],2,FALSE)*(1-(METLTask4[CDR''s Weight]-1)*(100/MAX(METLTask4[CDR''s Weight])/100)))</f>
        <v/>
      </c>
      <c r="I67" s="28">
        <v>9</v>
      </c>
      <c r="J67" s="24" t="str">
        <f>IF(ISNUMBER(SEARCH("→",METLTask4[[#This Row],[METL Task 4]])),"",IF(G67=$A$5,$B$5*METLTask4[[#This Row],[CDR''s Weight]],IF(G67=$A$6,$B$6*METLTask4[[#This Row],[CDR''s Weight]],IF(G67=$A$7,$B$7*METLTask4[[#This Row],[CDR''s Weight]]))))</f>
        <v/>
      </c>
      <c r="K67" s="25">
        <f>VLOOKUP(METLTask4[[#This Row],[Commander''s Assessment]],Table220[],2,FALSE)*(1-(($I$60:$I$69-1)*(100/MAX($I$60:$I$69)/100)))</f>
        <v>0.19999999999999996</v>
      </c>
      <c r="L67" s="26"/>
      <c r="M67" s="25"/>
      <c r="N67" s="25"/>
      <c r="O67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67" s="43"/>
    </row>
    <row r="68" spans="5:16" hidden="1" outlineLevel="1" x14ac:dyDescent="0.3">
      <c r="E68" s="27" t="s">
        <v>24</v>
      </c>
      <c r="F68" s="33"/>
      <c r="G68" s="20" t="s">
        <v>3</v>
      </c>
      <c r="H68" s="35" t="str">
        <f>IF(ISBLANK(METLTask4[[#This Row],[CDR''s Weight]]),"",VLOOKUP(METLTask4[[#This Row],[Commander''s Assessment]],Table220[],2,FALSE)*(1-(METLTask4[CDR''s Weight]-1)*(100/MAX(METLTask4[CDR''s Weight])/100)))</f>
        <v/>
      </c>
      <c r="I68" s="28">
        <v>10</v>
      </c>
      <c r="J68" s="24" t="str">
        <f>IF(ISNUMBER(SEARCH("→",METLTask4[[#This Row],[METL Task 4]])),"",IF(G68=$A$5,$B$5*METLTask4[[#This Row],[CDR''s Weight]],IF(G68=$A$6,$B$6*METLTask4[[#This Row],[CDR''s Weight]],IF(G68=$A$7,$B$7*METLTask4[[#This Row],[CDR''s Weight]]))))</f>
        <v/>
      </c>
      <c r="K68" s="25">
        <f>VLOOKUP(METLTask4[[#This Row],[Commander''s Assessment]],Table220[],2,FALSE)*(1-(($I$60:$I$69-1)*(100/MAX($I$60:$I$69)/100)))</f>
        <v>9.999999999999998E-4</v>
      </c>
      <c r="L68" s="26"/>
      <c r="M68" s="25"/>
      <c r="N68" s="25"/>
      <c r="O68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68" s="43"/>
    </row>
    <row r="69" spans="5:16" hidden="1" outlineLevel="1" x14ac:dyDescent="0.3">
      <c r="E69" s="27" t="s">
        <v>24</v>
      </c>
      <c r="F69" s="31"/>
      <c r="G69" s="20" t="s">
        <v>3</v>
      </c>
      <c r="H69" s="35" t="str">
        <f>IF(ISBLANK(METLTask4[[#This Row],[CDR''s Weight]]),"",VLOOKUP(METLTask4[[#This Row],[Commander''s Assessment]],Table220[],2,FALSE)*(1-(METLTask4[CDR''s Weight]-1)*(100/MAX(METLTask4[CDR''s Weight])/100)))</f>
        <v/>
      </c>
      <c r="I69" s="29">
        <v>1</v>
      </c>
      <c r="J69" s="24" t="str">
        <f>IF(ISNUMBER(SEARCH("→",METLTask4[[#This Row],[METL Task 4]])),"",IF(G69=$A$5,$B$5*METLTask4[[#This Row],[CDR''s Weight]],IF(G69=$A$6,$B$6*METLTask4[[#This Row],[CDR''s Weight]],IF(G69=$A$7,$B$7*METLTask4[[#This Row],[CDR''s Weight]]))))</f>
        <v/>
      </c>
      <c r="K69" s="25">
        <f>VLOOKUP(METLTask4[[#This Row],[Commander''s Assessment]],Table220[],2,FALSE)*(1-(($I$60:$I$69-1)*(100/MAX($I$60:$I$69)/100)))</f>
        <v>0.01</v>
      </c>
      <c r="L69" s="26"/>
      <c r="M69" s="21"/>
      <c r="N69" s="21"/>
      <c r="O69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69" s="43"/>
    </row>
    <row r="70" spans="5:16" collapsed="1" x14ac:dyDescent="0.3">
      <c r="E70" s="22" t="s">
        <v>16</v>
      </c>
      <c r="F70" s="20">
        <v>7</v>
      </c>
      <c r="G70" s="20" t="s">
        <v>18</v>
      </c>
      <c r="H70" s="35">
        <f>IF(ISBLANK(METLTask4[[#This Row],[CDR''s Weight]]),"",VLOOKUP(METLTask4[[#This Row],[Commander''s Assessment]],Table220[],2,FALSE)*(1-(METLTask4[CDR''s Weight]-1)*(100/MAX(METLTask4[CDR''s Weight])/100)))</f>
        <v>0.39999999999999991</v>
      </c>
      <c r="I70" s="23"/>
      <c r="J70" s="24">
        <f>IF(ISNUMBER(SEARCH("→",METLTask4[[#This Row],[METL Task 4]])),"",IF(G70=$A$5,$B$5*METLTask4[[#This Row],[CDR''s Weight]],IF(G70=$A$6,$B$6*METLTask4[[#This Row],[CDR''s Weight]],IF(G70=$A$7,$B$7*METLTask4[[#This Row],[CDR''s Weight]]))))</f>
        <v>7</v>
      </c>
      <c r="K70" s="25" t="str">
        <f>IF(ISNUMBER(METLTask4[[#This Row],[Total]]),"",VLOOKUP(METLTask4[[#This Row],[Commander''s Assessment]],Table220[],2,FALSE)*(1-(($I$71:$I$80-1)*(100/MAX($I$71:$I$80)/100))))</f>
        <v/>
      </c>
      <c r="L70" s="26">
        <f>SUM(I71:I80)</f>
        <v>55</v>
      </c>
      <c r="M70" s="25">
        <f>SUM(K71:K80)*10</f>
        <v>37.61</v>
      </c>
      <c r="N70" s="25">
        <f>METLTask4[[#This Row],[New SB Total]]/METLTask4[[#This Row],[New SB Weight]]</f>
        <v>0.68381818181818177</v>
      </c>
      <c r="O70" s="2" t="str">
        <f>IF(ISBLANK(METLTask4[[#This Row],[calc]]),"",IF(METLTask4[[#This Row],[calc]]&gt;=0.66,$A$5,IF(AND(METLTask4[[#This Row],[calc]]&lt;0.66,METLTask4[[#This Row],[calc]]&gt;=0.33),$A$6,IF(METLTask4[[#This Row],[calc]]&lt;0.33,"U"))))</f>
        <v>T</v>
      </c>
      <c r="P70" s="43"/>
    </row>
    <row r="71" spans="5:16" hidden="1" outlineLevel="1" x14ac:dyDescent="0.3">
      <c r="E71" s="27" t="s">
        <v>33</v>
      </c>
      <c r="F71" s="33"/>
      <c r="G71" s="20" t="s">
        <v>2</v>
      </c>
      <c r="H71" s="35" t="str">
        <f>IF(ISBLANK(METLTask4[[#This Row],[CDR''s Weight]]),"",VLOOKUP(METLTask4[[#This Row],[Commander''s Assessment]],Table220[],2,FALSE)*(1-(METLTask4[CDR''s Weight]-1)*(100/MAX(METLTask4[CDR''s Weight])/100)))</f>
        <v/>
      </c>
      <c r="I71" s="28">
        <v>2</v>
      </c>
      <c r="J71" s="24" t="str">
        <f>IF(ISNUMBER(SEARCH("→",METLTask4[[#This Row],[METL Task 4]])),"",IF(G71=$A$5,$B$5*METLTask4[[#This Row],[CDR''s Weight]],IF(G71=$A$6,$B$6*METLTask4[[#This Row],[CDR''s Weight]],IF(G71=$A$7,$B$7*METLTask4[[#This Row],[CDR''s Weight]]))))</f>
        <v/>
      </c>
      <c r="K71" s="25">
        <f>VLOOKUP(METLTask4[[#This Row],[Commander''s Assessment]],Table220[],2,FALSE)*(1-(($I$71:$I$80-1)*(100/MAX($I$71:$I$80)/100)))</f>
        <v>0.45</v>
      </c>
      <c r="L71" s="26"/>
      <c r="M71" s="25"/>
      <c r="N71" s="25"/>
      <c r="O71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71" s="43"/>
    </row>
    <row r="72" spans="5:16" hidden="1" outlineLevel="1" x14ac:dyDescent="0.3">
      <c r="E72" s="27" t="s">
        <v>24</v>
      </c>
      <c r="F72" s="33"/>
      <c r="G72" s="20" t="s">
        <v>1</v>
      </c>
      <c r="H72" s="35" t="str">
        <f>IF(ISBLANK(METLTask4[[#This Row],[CDR''s Weight]]),"",VLOOKUP(METLTask4[[#This Row],[Commander''s Assessment]],Table220[],2,FALSE)*(1-(METLTask4[CDR''s Weight]-1)*(100/MAX(METLTask4[CDR''s Weight])/100)))</f>
        <v/>
      </c>
      <c r="I72" s="28">
        <v>3</v>
      </c>
      <c r="J72" s="24" t="str">
        <f>IF(ISNUMBER(SEARCH("→",METLTask4[[#This Row],[METL Task 4]])),"",IF(G72=$A$5,$B$5*METLTask4[[#This Row],[CDR''s Weight]],IF(G72=$A$6,$B$6*METLTask4[[#This Row],[CDR''s Weight]],IF(G72=$A$7,$B$7*METLTask4[[#This Row],[CDR''s Weight]]))))</f>
        <v/>
      </c>
      <c r="K72" s="25">
        <f>VLOOKUP(METLTask4[[#This Row],[Commander''s Assessment]],Table220[],2,FALSE)*(1-(($I$71:$I$80-1)*(100/MAX($I$71:$I$80)/100)))</f>
        <v>0.8</v>
      </c>
      <c r="L72" s="26"/>
      <c r="M72" s="25"/>
      <c r="N72" s="25"/>
      <c r="O72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72" s="43"/>
    </row>
    <row r="73" spans="5:16" hidden="1" outlineLevel="1" x14ac:dyDescent="0.3">
      <c r="E73" s="27" t="s">
        <v>24</v>
      </c>
      <c r="F73" s="31"/>
      <c r="G73" s="20" t="s">
        <v>1</v>
      </c>
      <c r="H73" s="35" t="str">
        <f>IF(ISBLANK(METLTask4[[#This Row],[CDR''s Weight]]),"",VLOOKUP(METLTask4[[#This Row],[Commander''s Assessment]],Table220[],2,FALSE)*(1-(METLTask4[CDR''s Weight]-1)*(100/MAX(METLTask4[CDR''s Weight])/100)))</f>
        <v/>
      </c>
      <c r="I73" s="28">
        <v>4</v>
      </c>
      <c r="J73" s="24" t="str">
        <f>IF(ISNUMBER(SEARCH("→",METLTask4[[#This Row],[METL Task 4]])),"",IF(G73=$A$5,$B$5*METLTask4[[#This Row],[CDR''s Weight]],IF(G73=$A$6,$B$6*METLTask4[[#This Row],[CDR''s Weight]],IF(G73=$A$7,$B$7*METLTask4[[#This Row],[CDR''s Weight]]))))</f>
        <v/>
      </c>
      <c r="K73" s="25">
        <f>VLOOKUP(METLTask4[[#This Row],[Commander''s Assessment]],Table220[],2,FALSE)*(1-(($I$71:$I$80-1)*(100/MAX($I$71:$I$80)/100)))</f>
        <v>0.7</v>
      </c>
      <c r="L73" s="26"/>
      <c r="M73" s="25"/>
      <c r="N73" s="25"/>
      <c r="O73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73" s="43"/>
    </row>
    <row r="74" spans="5:16" hidden="1" outlineLevel="1" x14ac:dyDescent="0.3">
      <c r="E74" s="27" t="s">
        <v>24</v>
      </c>
      <c r="F74" s="33"/>
      <c r="G74" s="20" t="s">
        <v>1</v>
      </c>
      <c r="H74" s="35" t="str">
        <f>IF(ISBLANK(METLTask4[[#This Row],[CDR''s Weight]]),"",VLOOKUP(METLTask4[[#This Row],[Commander''s Assessment]],Table220[],2,FALSE)*(1-(METLTask4[CDR''s Weight]-1)*(100/MAX(METLTask4[CDR''s Weight])/100)))</f>
        <v/>
      </c>
      <c r="I74" s="28">
        <v>5</v>
      </c>
      <c r="J74" s="24" t="str">
        <f>IF(ISNUMBER(SEARCH("→",METLTask4[[#This Row],[METL Task 4]])),"",IF(G74=$A$5,$B$5*METLTask4[[#This Row],[CDR''s Weight]],IF(G74=$A$6,$B$6*METLTask4[[#This Row],[CDR''s Weight]],IF(G74=$A$7,$B$7*METLTask4[[#This Row],[CDR''s Weight]]))))</f>
        <v/>
      </c>
      <c r="K74" s="25">
        <f>VLOOKUP(METLTask4[[#This Row],[Commander''s Assessment]],Table220[],2,FALSE)*(1-(($I$71:$I$80-1)*(100/MAX($I$71:$I$80)/100)))</f>
        <v>0.6</v>
      </c>
      <c r="L74" s="26"/>
      <c r="M74" s="25"/>
      <c r="N74" s="25"/>
      <c r="O74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74" s="43"/>
    </row>
    <row r="75" spans="5:16" hidden="1" outlineLevel="1" x14ac:dyDescent="0.3">
      <c r="E75" s="27" t="s">
        <v>24</v>
      </c>
      <c r="F75" s="33"/>
      <c r="G75" s="20" t="s">
        <v>1</v>
      </c>
      <c r="H75" s="35" t="str">
        <f>IF(ISBLANK(METLTask4[[#This Row],[CDR''s Weight]]),"",VLOOKUP(METLTask4[[#This Row],[Commander''s Assessment]],Table220[],2,FALSE)*(1-(METLTask4[CDR''s Weight]-1)*(100/MAX(METLTask4[CDR''s Weight])/100)))</f>
        <v/>
      </c>
      <c r="I75" s="28">
        <v>6</v>
      </c>
      <c r="J75" s="24" t="str">
        <f>IF(ISNUMBER(SEARCH("→",METLTask4[[#This Row],[METL Task 4]])),"",IF(G75=$A$5,$B$5*METLTask4[[#This Row],[CDR''s Weight]],IF(G75=$A$6,$B$6*METLTask4[[#This Row],[CDR''s Weight]],IF(G75=$A$7,$B$7*METLTask4[[#This Row],[CDR''s Weight]]))))</f>
        <v/>
      </c>
      <c r="K75" s="25">
        <f>VLOOKUP(METLTask4[[#This Row],[Commander''s Assessment]],Table220[],2,FALSE)*(1-(($I$71:$I$80-1)*(100/MAX($I$71:$I$80)/100)))</f>
        <v>0.5</v>
      </c>
      <c r="L75" s="26"/>
      <c r="M75" s="25"/>
      <c r="N75" s="25"/>
      <c r="O75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75" s="43"/>
    </row>
    <row r="76" spans="5:16" hidden="1" outlineLevel="1" x14ac:dyDescent="0.3">
      <c r="E76" s="27" t="s">
        <v>24</v>
      </c>
      <c r="F76" s="33"/>
      <c r="G76" s="20" t="s">
        <v>2</v>
      </c>
      <c r="H76" s="35" t="str">
        <f>IF(ISBLANK(METLTask4[[#This Row],[CDR''s Weight]]),"",VLOOKUP(METLTask4[[#This Row],[Commander''s Assessment]],Table220[],2,FALSE)*(1-(METLTask4[CDR''s Weight]-1)*(100/MAX(METLTask4[CDR''s Weight])/100)))</f>
        <v/>
      </c>
      <c r="I76" s="28">
        <v>7</v>
      </c>
      <c r="J76" s="24" t="str">
        <f>IF(ISNUMBER(SEARCH("→",METLTask4[[#This Row],[METL Task 4]])),"",IF(G76=$A$5,$B$5*METLTask4[[#This Row],[CDR''s Weight]],IF(G76=$A$6,$B$6*METLTask4[[#This Row],[CDR''s Weight]],IF(G76=$A$7,$B$7*METLTask4[[#This Row],[CDR''s Weight]]))))</f>
        <v/>
      </c>
      <c r="K76" s="25">
        <f>VLOOKUP(METLTask4[[#This Row],[Commander''s Assessment]],Table220[],2,FALSE)*(1-(($I$71:$I$80-1)*(100/MAX($I$71:$I$80)/100)))</f>
        <v>0.19999999999999996</v>
      </c>
      <c r="L76" s="26"/>
      <c r="M76" s="25"/>
      <c r="N76" s="25"/>
      <c r="O76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76" s="43"/>
    </row>
    <row r="77" spans="5:16" hidden="1" outlineLevel="1" x14ac:dyDescent="0.3">
      <c r="E77" s="27" t="s">
        <v>24</v>
      </c>
      <c r="F77" s="33"/>
      <c r="G77" s="20" t="s">
        <v>1</v>
      </c>
      <c r="H77" s="35" t="str">
        <f>IF(ISBLANK(METLTask4[[#This Row],[CDR''s Weight]]),"",VLOOKUP(METLTask4[[#This Row],[Commander''s Assessment]],Table220[],2,FALSE)*(1-(METLTask4[CDR''s Weight]-1)*(100/MAX(METLTask4[CDR''s Weight])/100)))</f>
        <v/>
      </c>
      <c r="I77" s="28">
        <v>8</v>
      </c>
      <c r="J77" s="24" t="str">
        <f>IF(ISNUMBER(SEARCH("→",METLTask4[[#This Row],[METL Task 4]])),"",IF(G77=$A$5,$B$5*METLTask4[[#This Row],[CDR''s Weight]],IF(G77=$A$6,$B$6*METLTask4[[#This Row],[CDR''s Weight]],IF(G77=$A$7,$B$7*METLTask4[[#This Row],[CDR''s Weight]]))))</f>
        <v/>
      </c>
      <c r="K77" s="25">
        <f>VLOOKUP(METLTask4[[#This Row],[Commander''s Assessment]],Table220[],2,FALSE)*(1-(($I$71:$I$80-1)*(100/MAX($I$71:$I$80)/100)))</f>
        <v>0.29999999999999993</v>
      </c>
      <c r="L77" s="26"/>
      <c r="M77" s="25"/>
      <c r="N77" s="25"/>
      <c r="O77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77" s="43"/>
    </row>
    <row r="78" spans="5:16" hidden="1" outlineLevel="1" x14ac:dyDescent="0.3">
      <c r="E78" s="27" t="s">
        <v>24</v>
      </c>
      <c r="F78" s="33"/>
      <c r="G78" s="20" t="s">
        <v>1</v>
      </c>
      <c r="H78" s="35" t="str">
        <f>IF(ISBLANK(METLTask4[[#This Row],[CDR''s Weight]]),"",VLOOKUP(METLTask4[[#This Row],[Commander''s Assessment]],Table220[],2,FALSE)*(1-(METLTask4[CDR''s Weight]-1)*(100/MAX(METLTask4[CDR''s Weight])/100)))</f>
        <v/>
      </c>
      <c r="I78" s="28">
        <v>9</v>
      </c>
      <c r="J78" s="24" t="str">
        <f>IF(ISNUMBER(SEARCH("→",METLTask4[[#This Row],[METL Task 4]])),"",IF(G78=$A$5,$B$5*METLTask4[[#This Row],[CDR''s Weight]],IF(G78=$A$6,$B$6*METLTask4[[#This Row],[CDR''s Weight]],IF(G78=$A$7,$B$7*METLTask4[[#This Row],[CDR''s Weight]]))))</f>
        <v/>
      </c>
      <c r="K78" s="25">
        <f>VLOOKUP(METLTask4[[#This Row],[Commander''s Assessment]],Table220[],2,FALSE)*(1-(($I$71:$I$80-1)*(100/MAX($I$71:$I$80)/100)))</f>
        <v>0.19999999999999996</v>
      </c>
      <c r="L78" s="26"/>
      <c r="M78" s="25"/>
      <c r="N78" s="25"/>
      <c r="O78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78" s="43"/>
    </row>
    <row r="79" spans="5:16" hidden="1" outlineLevel="1" x14ac:dyDescent="0.3">
      <c r="E79" s="27" t="s">
        <v>24</v>
      </c>
      <c r="F79" s="33"/>
      <c r="G79" s="20" t="s">
        <v>3</v>
      </c>
      <c r="H79" s="35" t="str">
        <f>IF(ISBLANK(METLTask4[[#This Row],[CDR''s Weight]]),"",VLOOKUP(METLTask4[[#This Row],[Commander''s Assessment]],Table220[],2,FALSE)*(1-(METLTask4[CDR''s Weight]-1)*(100/MAX(METLTask4[CDR''s Weight])/100)))</f>
        <v/>
      </c>
      <c r="I79" s="28">
        <v>10</v>
      </c>
      <c r="J79" s="24" t="str">
        <f>IF(ISNUMBER(SEARCH("→",METLTask4[[#This Row],[METL Task 4]])),"",IF(G79=$A$5,$B$5*METLTask4[[#This Row],[CDR''s Weight]],IF(G79=$A$6,$B$6*METLTask4[[#This Row],[CDR''s Weight]],IF(G79=$A$7,$B$7*METLTask4[[#This Row],[CDR''s Weight]]))))</f>
        <v/>
      </c>
      <c r="K79" s="25">
        <f>VLOOKUP(METLTask4[[#This Row],[Commander''s Assessment]],Table220[],2,FALSE)*(1-(($I$71:$I$80-1)*(100/MAX($I$71:$I$80)/100)))</f>
        <v>9.999999999999998E-4</v>
      </c>
      <c r="L79" s="26"/>
      <c r="M79" s="25"/>
      <c r="N79" s="25"/>
      <c r="O79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79" s="43"/>
    </row>
    <row r="80" spans="5:16" hidden="1" outlineLevel="1" x14ac:dyDescent="0.3">
      <c r="E80" s="27" t="s">
        <v>24</v>
      </c>
      <c r="F80" s="31"/>
      <c r="G80" s="20" t="s">
        <v>3</v>
      </c>
      <c r="H80" s="35" t="str">
        <f>IF(ISBLANK(METLTask4[[#This Row],[CDR''s Weight]]),"",VLOOKUP(METLTask4[[#This Row],[Commander''s Assessment]],Table220[],2,FALSE)*(1-(METLTask4[CDR''s Weight]-1)*(100/MAX(METLTask4[CDR''s Weight])/100)))</f>
        <v/>
      </c>
      <c r="I80" s="29">
        <v>1</v>
      </c>
      <c r="J80" s="24" t="str">
        <f>IF(ISNUMBER(SEARCH("→",METLTask4[[#This Row],[METL Task 4]])),"",IF(G80=$A$5,$B$5*METLTask4[[#This Row],[CDR''s Weight]],IF(G80=$A$6,$B$6*METLTask4[[#This Row],[CDR''s Weight]],IF(G80=$A$7,$B$7*METLTask4[[#This Row],[CDR''s Weight]]))))</f>
        <v/>
      </c>
      <c r="K80" s="25">
        <f>VLOOKUP(METLTask4[[#This Row],[Commander''s Assessment]],Table220[],2,FALSE)*(1-(($I$71:$I$80-1)*(100/MAX($I$71:$I$80)/100)))</f>
        <v>0.01</v>
      </c>
      <c r="L80" s="26"/>
      <c r="M80" s="21"/>
      <c r="N80" s="21"/>
      <c r="O80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80" s="43"/>
    </row>
    <row r="81" spans="5:16" collapsed="1" x14ac:dyDescent="0.3">
      <c r="E81" s="22" t="s">
        <v>16</v>
      </c>
      <c r="F81" s="20">
        <v>8</v>
      </c>
      <c r="G81" s="20" t="s">
        <v>18</v>
      </c>
      <c r="H81" s="35">
        <f>IF(ISBLANK(METLTask4[[#This Row],[CDR''s Weight]]),"",VLOOKUP(METLTask4[[#This Row],[Commander''s Assessment]],Table220[],2,FALSE)*(1-(METLTask4[CDR''s Weight]-1)*(100/MAX(METLTask4[CDR''s Weight])/100)))</f>
        <v>0.29999999999999993</v>
      </c>
      <c r="I81" s="23"/>
      <c r="J81" s="24">
        <f>IF(ISNUMBER(SEARCH("→",METLTask4[[#This Row],[METL Task 4]])),"",IF(G81=$A$5,$B$5*METLTask4[[#This Row],[CDR''s Weight]],IF(G81=$A$6,$B$6*METLTask4[[#This Row],[CDR''s Weight]],IF(G81=$A$7,$B$7*METLTask4[[#This Row],[CDR''s Weight]]))))</f>
        <v>8</v>
      </c>
      <c r="K81" s="25" t="str">
        <f>IF(ISNUMBER(METLTask4[[#This Row],[Total]]),"",VLOOKUP(METLTask4[[#This Row],[Commander''s Assessment]],Table220[],2,FALSE)*(1-(($I$82:$I$91-1)*(100/MAX($I$82:$I$91)/100))))</f>
        <v/>
      </c>
      <c r="L81" s="26">
        <f>SUM(I82:I91)</f>
        <v>55</v>
      </c>
      <c r="M81" s="25">
        <f>SUM(K82:K91)*10</f>
        <v>37.61</v>
      </c>
      <c r="N81" s="25">
        <f>METLTask4[[#This Row],[New SB Total]]/METLTask4[[#This Row],[New SB Weight]]</f>
        <v>0.68381818181818177</v>
      </c>
      <c r="O81" s="2" t="str">
        <f>IF(ISBLANK(METLTask4[[#This Row],[calc]]),"",IF(METLTask4[[#This Row],[calc]]&gt;=0.66,$A$5,IF(AND(METLTask4[[#This Row],[calc]]&lt;0.66,METLTask4[[#This Row],[calc]]&gt;=0.33),$A$6,IF(METLTask4[[#This Row],[calc]]&lt;0.33,"U"))))</f>
        <v>T</v>
      </c>
      <c r="P81" s="43"/>
    </row>
    <row r="82" spans="5:16" hidden="1" outlineLevel="1" x14ac:dyDescent="0.3">
      <c r="E82" s="27" t="s">
        <v>33</v>
      </c>
      <c r="F82" s="33"/>
      <c r="G82" s="20" t="s">
        <v>2</v>
      </c>
      <c r="H82" s="35" t="str">
        <f>IF(ISBLANK(METLTask4[[#This Row],[CDR''s Weight]]),"",VLOOKUP(METLTask4[[#This Row],[Commander''s Assessment]],Table220[],2,FALSE)*(1-(METLTask4[CDR''s Weight]-1)*(100/MAX(METLTask4[CDR''s Weight])/100)))</f>
        <v/>
      </c>
      <c r="I82" s="28">
        <v>2</v>
      </c>
      <c r="J82" s="24" t="str">
        <f>IF(ISNUMBER(SEARCH("→",METLTask4[[#This Row],[METL Task 4]])),"",IF(G82=$A$5,$B$5*METLTask4[[#This Row],[CDR''s Weight]],IF(G82=$A$6,$B$6*METLTask4[[#This Row],[CDR''s Weight]],IF(G82=$A$7,$B$7*METLTask4[[#This Row],[CDR''s Weight]]))))</f>
        <v/>
      </c>
      <c r="K82" s="25">
        <f>VLOOKUP(METLTask4[[#This Row],[Commander''s Assessment]],Table220[],2,FALSE)*(1-(($I$82:$I$91-1)*(100/MAX($I$82:$I$91)/100)))</f>
        <v>0.45</v>
      </c>
      <c r="L82" s="26"/>
      <c r="M82" s="25"/>
      <c r="N82" s="25"/>
      <c r="O82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82" s="43"/>
    </row>
    <row r="83" spans="5:16" hidden="1" outlineLevel="1" x14ac:dyDescent="0.3">
      <c r="E83" s="27" t="s">
        <v>24</v>
      </c>
      <c r="F83" s="33"/>
      <c r="G83" s="20" t="s">
        <v>1</v>
      </c>
      <c r="H83" s="35" t="str">
        <f>IF(ISBLANK(METLTask4[[#This Row],[CDR''s Weight]]),"",VLOOKUP(METLTask4[[#This Row],[Commander''s Assessment]],Table220[],2,FALSE)*(1-(METLTask4[CDR''s Weight]-1)*(100/MAX(METLTask4[CDR''s Weight])/100)))</f>
        <v/>
      </c>
      <c r="I83" s="28">
        <v>3</v>
      </c>
      <c r="J83" s="24" t="str">
        <f>IF(ISNUMBER(SEARCH("→",METLTask4[[#This Row],[METL Task 4]])),"",IF(G83=$A$5,$B$5*METLTask4[[#This Row],[CDR''s Weight]],IF(G83=$A$6,$B$6*METLTask4[[#This Row],[CDR''s Weight]],IF(G83=$A$7,$B$7*METLTask4[[#This Row],[CDR''s Weight]]))))</f>
        <v/>
      </c>
      <c r="K83" s="25">
        <f>VLOOKUP(METLTask4[[#This Row],[Commander''s Assessment]],Table220[],2,FALSE)*(1-(($I$82:$I$91-1)*(100/MAX($I$82:$I$91)/100)))</f>
        <v>0.8</v>
      </c>
      <c r="L83" s="26"/>
      <c r="M83" s="25"/>
      <c r="N83" s="25"/>
      <c r="O83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83" s="43"/>
    </row>
    <row r="84" spans="5:16" hidden="1" outlineLevel="1" x14ac:dyDescent="0.3">
      <c r="E84" s="27" t="s">
        <v>24</v>
      </c>
      <c r="F84" s="31"/>
      <c r="G84" s="20" t="s">
        <v>1</v>
      </c>
      <c r="H84" s="35" t="str">
        <f>IF(ISBLANK(METLTask4[[#This Row],[CDR''s Weight]]),"",VLOOKUP(METLTask4[[#This Row],[Commander''s Assessment]],Table220[],2,FALSE)*(1-(METLTask4[CDR''s Weight]-1)*(100/MAX(METLTask4[CDR''s Weight])/100)))</f>
        <v/>
      </c>
      <c r="I84" s="28">
        <v>4</v>
      </c>
      <c r="J84" s="24" t="str">
        <f>IF(ISNUMBER(SEARCH("→",METLTask4[[#This Row],[METL Task 4]])),"",IF(G84=$A$5,$B$5*METLTask4[[#This Row],[CDR''s Weight]],IF(G84=$A$6,$B$6*METLTask4[[#This Row],[CDR''s Weight]],IF(G84=$A$7,$B$7*METLTask4[[#This Row],[CDR''s Weight]]))))</f>
        <v/>
      </c>
      <c r="K84" s="25">
        <f>VLOOKUP(METLTask4[[#This Row],[Commander''s Assessment]],Table220[],2,FALSE)*(1-(($I$82:$I$91-1)*(100/MAX($I$82:$I$91)/100)))</f>
        <v>0.7</v>
      </c>
      <c r="L84" s="26"/>
      <c r="M84" s="25"/>
      <c r="N84" s="25"/>
      <c r="O84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84" s="43"/>
    </row>
    <row r="85" spans="5:16" hidden="1" outlineLevel="1" x14ac:dyDescent="0.3">
      <c r="E85" s="27" t="s">
        <v>24</v>
      </c>
      <c r="F85" s="33"/>
      <c r="G85" s="20" t="s">
        <v>1</v>
      </c>
      <c r="H85" s="35" t="str">
        <f>IF(ISBLANK(METLTask4[[#This Row],[CDR''s Weight]]),"",VLOOKUP(METLTask4[[#This Row],[Commander''s Assessment]],Table220[],2,FALSE)*(1-(METLTask4[CDR''s Weight]-1)*(100/MAX(METLTask4[CDR''s Weight])/100)))</f>
        <v/>
      </c>
      <c r="I85" s="28">
        <v>5</v>
      </c>
      <c r="J85" s="24" t="str">
        <f>IF(ISNUMBER(SEARCH("→",METLTask4[[#This Row],[METL Task 4]])),"",IF(G85=$A$5,$B$5*METLTask4[[#This Row],[CDR''s Weight]],IF(G85=$A$6,$B$6*METLTask4[[#This Row],[CDR''s Weight]],IF(G85=$A$7,$B$7*METLTask4[[#This Row],[CDR''s Weight]]))))</f>
        <v/>
      </c>
      <c r="K85" s="25">
        <f>VLOOKUP(METLTask4[[#This Row],[Commander''s Assessment]],Table220[],2,FALSE)*(1-(($I$82:$I$91-1)*(100/MAX($I$82:$I$91)/100)))</f>
        <v>0.6</v>
      </c>
      <c r="L85" s="26"/>
      <c r="M85" s="25"/>
      <c r="N85" s="25"/>
      <c r="O85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85" s="43"/>
    </row>
    <row r="86" spans="5:16" hidden="1" outlineLevel="1" x14ac:dyDescent="0.3">
      <c r="E86" s="27" t="s">
        <v>24</v>
      </c>
      <c r="F86" s="33"/>
      <c r="G86" s="20" t="s">
        <v>1</v>
      </c>
      <c r="H86" s="35" t="str">
        <f>IF(ISBLANK(METLTask4[[#This Row],[CDR''s Weight]]),"",VLOOKUP(METLTask4[[#This Row],[Commander''s Assessment]],Table220[],2,FALSE)*(1-(METLTask4[CDR''s Weight]-1)*(100/MAX(METLTask4[CDR''s Weight])/100)))</f>
        <v/>
      </c>
      <c r="I86" s="28">
        <v>6</v>
      </c>
      <c r="J86" s="24" t="str">
        <f>IF(ISNUMBER(SEARCH("→",METLTask4[[#This Row],[METL Task 4]])),"",IF(G86=$A$5,$B$5*METLTask4[[#This Row],[CDR''s Weight]],IF(G86=$A$6,$B$6*METLTask4[[#This Row],[CDR''s Weight]],IF(G86=$A$7,$B$7*METLTask4[[#This Row],[CDR''s Weight]]))))</f>
        <v/>
      </c>
      <c r="K86" s="25">
        <f>VLOOKUP(METLTask4[[#This Row],[Commander''s Assessment]],Table220[],2,FALSE)*(1-(($I$82:$I$91-1)*(100/MAX($I$82:$I$91)/100)))</f>
        <v>0.5</v>
      </c>
      <c r="L86" s="26"/>
      <c r="M86" s="25"/>
      <c r="N86" s="25"/>
      <c r="O86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86" s="43"/>
    </row>
    <row r="87" spans="5:16" hidden="1" outlineLevel="1" x14ac:dyDescent="0.3">
      <c r="E87" s="27" t="s">
        <v>24</v>
      </c>
      <c r="F87" s="33"/>
      <c r="G87" s="20" t="s">
        <v>2</v>
      </c>
      <c r="H87" s="35" t="str">
        <f>IF(ISBLANK(METLTask4[[#This Row],[CDR''s Weight]]),"",VLOOKUP(METLTask4[[#This Row],[Commander''s Assessment]],Table220[],2,FALSE)*(1-(METLTask4[CDR''s Weight]-1)*(100/MAX(METLTask4[CDR''s Weight])/100)))</f>
        <v/>
      </c>
      <c r="I87" s="28">
        <v>7</v>
      </c>
      <c r="J87" s="24" t="str">
        <f>IF(ISNUMBER(SEARCH("→",METLTask4[[#This Row],[METL Task 4]])),"",IF(G87=$A$5,$B$5*METLTask4[[#This Row],[CDR''s Weight]],IF(G87=$A$6,$B$6*METLTask4[[#This Row],[CDR''s Weight]],IF(G87=$A$7,$B$7*METLTask4[[#This Row],[CDR''s Weight]]))))</f>
        <v/>
      </c>
      <c r="K87" s="25">
        <f>VLOOKUP(METLTask4[[#This Row],[Commander''s Assessment]],Table220[],2,FALSE)*(1-(($I$82:$I$91-1)*(100/MAX($I$82:$I$91)/100)))</f>
        <v>0.19999999999999996</v>
      </c>
      <c r="L87" s="26"/>
      <c r="M87" s="25"/>
      <c r="N87" s="25"/>
      <c r="O87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87" s="43"/>
    </row>
    <row r="88" spans="5:16" hidden="1" outlineLevel="1" x14ac:dyDescent="0.3">
      <c r="E88" s="27" t="s">
        <v>24</v>
      </c>
      <c r="F88" s="33"/>
      <c r="G88" s="20" t="s">
        <v>1</v>
      </c>
      <c r="H88" s="35" t="str">
        <f>IF(ISBLANK(METLTask4[[#This Row],[CDR''s Weight]]),"",VLOOKUP(METLTask4[[#This Row],[Commander''s Assessment]],Table220[],2,FALSE)*(1-(METLTask4[CDR''s Weight]-1)*(100/MAX(METLTask4[CDR''s Weight])/100)))</f>
        <v/>
      </c>
      <c r="I88" s="28">
        <v>8</v>
      </c>
      <c r="J88" s="24" t="str">
        <f>IF(ISNUMBER(SEARCH("→",METLTask4[[#This Row],[METL Task 4]])),"",IF(G88=$A$5,$B$5*METLTask4[[#This Row],[CDR''s Weight]],IF(G88=$A$6,$B$6*METLTask4[[#This Row],[CDR''s Weight]],IF(G88=$A$7,$B$7*METLTask4[[#This Row],[CDR''s Weight]]))))</f>
        <v/>
      </c>
      <c r="K88" s="25">
        <f>VLOOKUP(METLTask4[[#This Row],[Commander''s Assessment]],Table220[],2,FALSE)*(1-(($I$82:$I$91-1)*(100/MAX($I$82:$I$91)/100)))</f>
        <v>0.29999999999999993</v>
      </c>
      <c r="L88" s="26"/>
      <c r="M88" s="25"/>
      <c r="N88" s="25"/>
      <c r="O88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88" s="43"/>
    </row>
    <row r="89" spans="5:16" hidden="1" outlineLevel="1" x14ac:dyDescent="0.3">
      <c r="E89" s="27" t="s">
        <v>24</v>
      </c>
      <c r="F89" s="33"/>
      <c r="G89" s="20" t="s">
        <v>1</v>
      </c>
      <c r="H89" s="35" t="str">
        <f>IF(ISBLANK(METLTask4[[#This Row],[CDR''s Weight]]),"",VLOOKUP(METLTask4[[#This Row],[Commander''s Assessment]],Table220[],2,FALSE)*(1-(METLTask4[CDR''s Weight]-1)*(100/MAX(METLTask4[CDR''s Weight])/100)))</f>
        <v/>
      </c>
      <c r="I89" s="28">
        <v>9</v>
      </c>
      <c r="J89" s="24" t="str">
        <f>IF(ISNUMBER(SEARCH("→",METLTask4[[#This Row],[METL Task 4]])),"",IF(G89=$A$5,$B$5*METLTask4[[#This Row],[CDR''s Weight]],IF(G89=$A$6,$B$6*METLTask4[[#This Row],[CDR''s Weight]],IF(G89=$A$7,$B$7*METLTask4[[#This Row],[CDR''s Weight]]))))</f>
        <v/>
      </c>
      <c r="K89" s="25">
        <f>VLOOKUP(METLTask4[[#This Row],[Commander''s Assessment]],Table220[],2,FALSE)*(1-(($I$82:$I$91-1)*(100/MAX($I$82:$I$91)/100)))</f>
        <v>0.19999999999999996</v>
      </c>
      <c r="L89" s="26"/>
      <c r="M89" s="25"/>
      <c r="N89" s="25"/>
      <c r="O89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89" s="43"/>
    </row>
    <row r="90" spans="5:16" hidden="1" outlineLevel="1" x14ac:dyDescent="0.3">
      <c r="E90" s="27" t="s">
        <v>24</v>
      </c>
      <c r="F90" s="33"/>
      <c r="G90" s="20" t="s">
        <v>3</v>
      </c>
      <c r="H90" s="35" t="str">
        <f>IF(ISBLANK(METLTask4[[#This Row],[CDR''s Weight]]),"",VLOOKUP(METLTask4[[#This Row],[Commander''s Assessment]],Table220[],2,FALSE)*(1-(METLTask4[CDR''s Weight]-1)*(100/MAX(METLTask4[CDR''s Weight])/100)))</f>
        <v/>
      </c>
      <c r="I90" s="28">
        <v>10</v>
      </c>
      <c r="J90" s="24" t="str">
        <f>IF(ISNUMBER(SEARCH("→",METLTask4[[#This Row],[METL Task 4]])),"",IF(G90=$A$5,$B$5*METLTask4[[#This Row],[CDR''s Weight]],IF(G90=$A$6,$B$6*METLTask4[[#This Row],[CDR''s Weight]],IF(G90=$A$7,$B$7*METLTask4[[#This Row],[CDR''s Weight]]))))</f>
        <v/>
      </c>
      <c r="K90" s="25">
        <f>VLOOKUP(METLTask4[[#This Row],[Commander''s Assessment]],Table220[],2,FALSE)*(1-(($I$82:$I$91-1)*(100/MAX($I$82:$I$91)/100)))</f>
        <v>9.999999999999998E-4</v>
      </c>
      <c r="L90" s="26"/>
      <c r="M90" s="25"/>
      <c r="N90" s="25"/>
      <c r="O90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90" s="43"/>
    </row>
    <row r="91" spans="5:16" hidden="1" outlineLevel="1" x14ac:dyDescent="0.3">
      <c r="E91" s="27" t="s">
        <v>24</v>
      </c>
      <c r="F91" s="31"/>
      <c r="G91" s="20" t="s">
        <v>3</v>
      </c>
      <c r="H91" s="35" t="str">
        <f>IF(ISBLANK(METLTask4[[#This Row],[CDR''s Weight]]),"",VLOOKUP(METLTask4[[#This Row],[Commander''s Assessment]],Table220[],2,FALSE)*(1-(METLTask4[CDR''s Weight]-1)*(100/MAX(METLTask4[CDR''s Weight])/100)))</f>
        <v/>
      </c>
      <c r="I91" s="29">
        <v>1</v>
      </c>
      <c r="J91" s="24" t="str">
        <f>IF(ISNUMBER(SEARCH("→",METLTask4[[#This Row],[METL Task 4]])),"",IF(G91=$A$5,$B$5*METLTask4[[#This Row],[CDR''s Weight]],IF(G91=$A$6,$B$6*METLTask4[[#This Row],[CDR''s Weight]],IF(G91=$A$7,$B$7*METLTask4[[#This Row],[CDR''s Weight]]))))</f>
        <v/>
      </c>
      <c r="K91" s="25">
        <f>VLOOKUP(METLTask4[[#This Row],[Commander''s Assessment]],Table220[],2,FALSE)*(1-(($I$82:$I$91-1)*(100/MAX($I$82:$I$91)/100)))</f>
        <v>0.01</v>
      </c>
      <c r="L91" s="26"/>
      <c r="M91" s="21"/>
      <c r="N91" s="21"/>
      <c r="O91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91" s="43"/>
    </row>
    <row r="92" spans="5:16" collapsed="1" x14ac:dyDescent="0.3">
      <c r="E92" s="22" t="s">
        <v>16</v>
      </c>
      <c r="F92" s="20">
        <v>9</v>
      </c>
      <c r="G92" s="20" t="s">
        <v>18</v>
      </c>
      <c r="H92" s="35">
        <f>IF(ISBLANK(METLTask4[[#This Row],[CDR''s Weight]]),"",VLOOKUP(METLTask4[[#This Row],[Commander''s Assessment]],Table220[],2,FALSE)*(1-(METLTask4[CDR''s Weight]-1)*(100/MAX(METLTask4[CDR''s Weight])/100)))</f>
        <v>0.19999999999999996</v>
      </c>
      <c r="I92" s="23"/>
      <c r="J92" s="24">
        <f>IF(ISNUMBER(SEARCH("→",METLTask4[[#This Row],[METL Task 4]])),"",IF(G92=$A$5,$B$5*METLTask4[[#This Row],[CDR''s Weight]],IF(G92=$A$6,$B$6*METLTask4[[#This Row],[CDR''s Weight]],IF(G92=$A$7,$B$7*METLTask4[[#This Row],[CDR''s Weight]]))))</f>
        <v>9</v>
      </c>
      <c r="K92" s="25" t="str">
        <f>IF(ISNUMBER(METLTask4[[#This Row],[Total]]),"",VLOOKUP(METLTask4[[#This Row],[Commander''s Assessment]],Table220[],2,FALSE)*(1-(($I$93:$I$102-1)*(100/MAX($I$93:$I$102)/100))))</f>
        <v/>
      </c>
      <c r="L92" s="26">
        <f>SUM(I93:I102)</f>
        <v>55</v>
      </c>
      <c r="M92" s="25">
        <f>SUM(K93:K102)*10</f>
        <v>37.61</v>
      </c>
      <c r="N92" s="25">
        <f>METLTask4[[#This Row],[New SB Total]]/METLTask4[[#This Row],[New SB Weight]]</f>
        <v>0.68381818181818177</v>
      </c>
      <c r="O92" s="2" t="str">
        <f>IF(ISBLANK(METLTask4[[#This Row],[calc]]),"",IF(METLTask4[[#This Row],[calc]]&gt;=0.66,$A$5,IF(AND(METLTask4[[#This Row],[calc]]&lt;0.66,METLTask4[[#This Row],[calc]]&gt;=0.33),$A$6,IF(METLTask4[[#This Row],[calc]]&lt;0.33,"U"))))</f>
        <v>T</v>
      </c>
      <c r="P92" s="43"/>
    </row>
    <row r="93" spans="5:16" hidden="1" outlineLevel="1" x14ac:dyDescent="0.3">
      <c r="E93" s="27" t="s">
        <v>33</v>
      </c>
      <c r="F93" s="33"/>
      <c r="G93" s="20" t="s">
        <v>2</v>
      </c>
      <c r="H93" s="35" t="str">
        <f>IF(ISBLANK(METLTask4[[#This Row],[CDR''s Weight]]),"",VLOOKUP(METLTask4[[#This Row],[Commander''s Assessment]],Table220[],2,FALSE)*(1-(METLTask4[CDR''s Weight]-1)*(100/MAX(METLTask4[CDR''s Weight])/100)))</f>
        <v/>
      </c>
      <c r="I93" s="28">
        <v>2</v>
      </c>
      <c r="J93" s="24" t="str">
        <f>IF(ISNUMBER(SEARCH("→",METLTask4[[#This Row],[METL Task 4]])),"",IF(G93=$A$5,$B$5*METLTask4[[#This Row],[CDR''s Weight]],IF(G93=$A$6,$B$6*METLTask4[[#This Row],[CDR''s Weight]],IF(G93=$A$7,$B$7*METLTask4[[#This Row],[CDR''s Weight]]))))</f>
        <v/>
      </c>
      <c r="K93" s="25">
        <f>VLOOKUP(METLTask4[[#This Row],[Commander''s Assessment]],Table220[],2,FALSE)*(1-(($I$93:$I$102-1)*(100/MAX($I$93:$I$102)/100)))</f>
        <v>0.45</v>
      </c>
      <c r="L93" s="26"/>
      <c r="M93" s="25"/>
      <c r="N93" s="25"/>
      <c r="O93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93" s="43"/>
    </row>
    <row r="94" spans="5:16" hidden="1" outlineLevel="1" x14ac:dyDescent="0.3">
      <c r="E94" s="27" t="s">
        <v>24</v>
      </c>
      <c r="F94" s="33"/>
      <c r="G94" s="20" t="s">
        <v>1</v>
      </c>
      <c r="H94" s="35" t="str">
        <f>IF(ISBLANK(METLTask4[[#This Row],[CDR''s Weight]]),"",VLOOKUP(METLTask4[[#This Row],[Commander''s Assessment]],Table220[],2,FALSE)*(1-(METLTask4[CDR''s Weight]-1)*(100/MAX(METLTask4[CDR''s Weight])/100)))</f>
        <v/>
      </c>
      <c r="I94" s="28">
        <v>3</v>
      </c>
      <c r="J94" s="24" t="str">
        <f>IF(ISNUMBER(SEARCH("→",METLTask4[[#This Row],[METL Task 4]])),"",IF(G94=$A$5,$B$5*METLTask4[[#This Row],[CDR''s Weight]],IF(G94=$A$6,$B$6*METLTask4[[#This Row],[CDR''s Weight]],IF(G94=$A$7,$B$7*METLTask4[[#This Row],[CDR''s Weight]]))))</f>
        <v/>
      </c>
      <c r="K94" s="25">
        <f>VLOOKUP(METLTask4[[#This Row],[Commander''s Assessment]],Table220[],2,FALSE)*(1-(($I$93:$I$102-1)*(100/MAX($I$93:$I$102)/100)))</f>
        <v>0.8</v>
      </c>
      <c r="L94" s="26"/>
      <c r="M94" s="25"/>
      <c r="N94" s="25"/>
      <c r="O94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94" s="43"/>
    </row>
    <row r="95" spans="5:16" hidden="1" outlineLevel="1" x14ac:dyDescent="0.3">
      <c r="E95" s="27" t="s">
        <v>24</v>
      </c>
      <c r="F95" s="31"/>
      <c r="G95" s="20" t="s">
        <v>1</v>
      </c>
      <c r="H95" s="35" t="str">
        <f>IF(ISBLANK(METLTask4[[#This Row],[CDR''s Weight]]),"",VLOOKUP(METLTask4[[#This Row],[Commander''s Assessment]],Table220[],2,FALSE)*(1-(METLTask4[CDR''s Weight]-1)*(100/MAX(METLTask4[CDR''s Weight])/100)))</f>
        <v/>
      </c>
      <c r="I95" s="28">
        <v>4</v>
      </c>
      <c r="J95" s="24" t="str">
        <f>IF(ISNUMBER(SEARCH("→",METLTask4[[#This Row],[METL Task 4]])),"",IF(G95=$A$5,$B$5*METLTask4[[#This Row],[CDR''s Weight]],IF(G95=$A$6,$B$6*METLTask4[[#This Row],[CDR''s Weight]],IF(G95=$A$7,$B$7*METLTask4[[#This Row],[CDR''s Weight]]))))</f>
        <v/>
      </c>
      <c r="K95" s="25">
        <f>VLOOKUP(METLTask4[[#This Row],[Commander''s Assessment]],Table220[],2,FALSE)*(1-(($I$93:$I$102-1)*(100/MAX($I$93:$I$102)/100)))</f>
        <v>0.7</v>
      </c>
      <c r="L95" s="26"/>
      <c r="M95" s="25"/>
      <c r="N95" s="25"/>
      <c r="O95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95" s="43"/>
    </row>
    <row r="96" spans="5:16" hidden="1" outlineLevel="1" x14ac:dyDescent="0.3">
      <c r="E96" s="27" t="s">
        <v>24</v>
      </c>
      <c r="F96" s="33"/>
      <c r="G96" s="20" t="s">
        <v>1</v>
      </c>
      <c r="H96" s="35" t="str">
        <f>IF(ISBLANK(METLTask4[[#This Row],[CDR''s Weight]]),"",VLOOKUP(METLTask4[[#This Row],[Commander''s Assessment]],Table220[],2,FALSE)*(1-(METLTask4[CDR''s Weight]-1)*(100/MAX(METLTask4[CDR''s Weight])/100)))</f>
        <v/>
      </c>
      <c r="I96" s="28">
        <v>5</v>
      </c>
      <c r="J96" s="24" t="str">
        <f>IF(ISNUMBER(SEARCH("→",METLTask4[[#This Row],[METL Task 4]])),"",IF(G96=$A$5,$B$5*METLTask4[[#This Row],[CDR''s Weight]],IF(G96=$A$6,$B$6*METLTask4[[#This Row],[CDR''s Weight]],IF(G96=$A$7,$B$7*METLTask4[[#This Row],[CDR''s Weight]]))))</f>
        <v/>
      </c>
      <c r="K96" s="25">
        <f>VLOOKUP(METLTask4[[#This Row],[Commander''s Assessment]],Table220[],2,FALSE)*(1-(($I$93:$I$102-1)*(100/MAX($I$93:$I$102)/100)))</f>
        <v>0.6</v>
      </c>
      <c r="L96" s="26"/>
      <c r="M96" s="25"/>
      <c r="N96" s="25"/>
      <c r="O96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96" s="43"/>
    </row>
    <row r="97" spans="5:16" hidden="1" outlineLevel="1" x14ac:dyDescent="0.3">
      <c r="E97" s="27" t="s">
        <v>24</v>
      </c>
      <c r="F97" s="33"/>
      <c r="G97" s="20" t="s">
        <v>1</v>
      </c>
      <c r="H97" s="35" t="str">
        <f>IF(ISBLANK(METLTask4[[#This Row],[CDR''s Weight]]),"",VLOOKUP(METLTask4[[#This Row],[Commander''s Assessment]],Table220[],2,FALSE)*(1-(METLTask4[CDR''s Weight]-1)*(100/MAX(METLTask4[CDR''s Weight])/100)))</f>
        <v/>
      </c>
      <c r="I97" s="28">
        <v>6</v>
      </c>
      <c r="J97" s="24" t="str">
        <f>IF(ISNUMBER(SEARCH("→",METLTask4[[#This Row],[METL Task 4]])),"",IF(G97=$A$5,$B$5*METLTask4[[#This Row],[CDR''s Weight]],IF(G97=$A$6,$B$6*METLTask4[[#This Row],[CDR''s Weight]],IF(G97=$A$7,$B$7*METLTask4[[#This Row],[CDR''s Weight]]))))</f>
        <v/>
      </c>
      <c r="K97" s="25">
        <f>VLOOKUP(METLTask4[[#This Row],[Commander''s Assessment]],Table220[],2,FALSE)*(1-(($I$93:$I$102-1)*(100/MAX($I$93:$I$102)/100)))</f>
        <v>0.5</v>
      </c>
      <c r="L97" s="26"/>
      <c r="M97" s="25"/>
      <c r="N97" s="25"/>
      <c r="O97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97" s="43"/>
    </row>
    <row r="98" spans="5:16" hidden="1" outlineLevel="1" x14ac:dyDescent="0.3">
      <c r="E98" s="27" t="s">
        <v>24</v>
      </c>
      <c r="F98" s="33"/>
      <c r="G98" s="20" t="s">
        <v>2</v>
      </c>
      <c r="H98" s="35" t="str">
        <f>IF(ISBLANK(METLTask4[[#This Row],[CDR''s Weight]]),"",VLOOKUP(METLTask4[[#This Row],[Commander''s Assessment]],Table220[],2,FALSE)*(1-(METLTask4[CDR''s Weight]-1)*(100/MAX(METLTask4[CDR''s Weight])/100)))</f>
        <v/>
      </c>
      <c r="I98" s="28">
        <v>7</v>
      </c>
      <c r="J98" s="24" t="str">
        <f>IF(ISNUMBER(SEARCH("→",METLTask4[[#This Row],[METL Task 4]])),"",IF(G98=$A$5,$B$5*METLTask4[[#This Row],[CDR''s Weight]],IF(G98=$A$6,$B$6*METLTask4[[#This Row],[CDR''s Weight]],IF(G98=$A$7,$B$7*METLTask4[[#This Row],[CDR''s Weight]]))))</f>
        <v/>
      </c>
      <c r="K98" s="25">
        <f>VLOOKUP(METLTask4[[#This Row],[Commander''s Assessment]],Table220[],2,FALSE)*(1-(($I$93:$I$102-1)*(100/MAX($I$93:$I$102)/100)))</f>
        <v>0.19999999999999996</v>
      </c>
      <c r="L98" s="26"/>
      <c r="M98" s="25"/>
      <c r="N98" s="25"/>
      <c r="O98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98" s="43"/>
    </row>
    <row r="99" spans="5:16" hidden="1" outlineLevel="1" x14ac:dyDescent="0.3">
      <c r="E99" s="27" t="s">
        <v>24</v>
      </c>
      <c r="F99" s="33"/>
      <c r="G99" s="20" t="s">
        <v>1</v>
      </c>
      <c r="H99" s="35" t="str">
        <f>IF(ISBLANK(METLTask4[[#This Row],[CDR''s Weight]]),"",VLOOKUP(METLTask4[[#This Row],[Commander''s Assessment]],Table220[],2,FALSE)*(1-(METLTask4[CDR''s Weight]-1)*(100/MAX(METLTask4[CDR''s Weight])/100)))</f>
        <v/>
      </c>
      <c r="I99" s="28">
        <v>8</v>
      </c>
      <c r="J99" s="24" t="str">
        <f>IF(ISNUMBER(SEARCH("→",METLTask4[[#This Row],[METL Task 4]])),"",IF(G99=$A$5,$B$5*METLTask4[[#This Row],[CDR''s Weight]],IF(G99=$A$6,$B$6*METLTask4[[#This Row],[CDR''s Weight]],IF(G99=$A$7,$B$7*METLTask4[[#This Row],[CDR''s Weight]]))))</f>
        <v/>
      </c>
      <c r="K99" s="25">
        <f>VLOOKUP(METLTask4[[#This Row],[Commander''s Assessment]],Table220[],2,FALSE)*(1-(($I$93:$I$102-1)*(100/MAX($I$93:$I$102)/100)))</f>
        <v>0.29999999999999993</v>
      </c>
      <c r="L99" s="26"/>
      <c r="M99" s="25"/>
      <c r="N99" s="25"/>
      <c r="O99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99" s="43"/>
    </row>
    <row r="100" spans="5:16" hidden="1" outlineLevel="1" x14ac:dyDescent="0.3">
      <c r="E100" s="27" t="s">
        <v>24</v>
      </c>
      <c r="F100" s="33"/>
      <c r="G100" s="20" t="s">
        <v>1</v>
      </c>
      <c r="H100" s="35" t="str">
        <f>IF(ISBLANK(METLTask4[[#This Row],[CDR''s Weight]]),"",VLOOKUP(METLTask4[[#This Row],[Commander''s Assessment]],Table220[],2,FALSE)*(1-(METLTask4[CDR''s Weight]-1)*(100/MAX(METLTask4[CDR''s Weight])/100)))</f>
        <v/>
      </c>
      <c r="I100" s="28">
        <v>9</v>
      </c>
      <c r="J100" s="24" t="str">
        <f>IF(ISNUMBER(SEARCH("→",METLTask4[[#This Row],[METL Task 4]])),"",IF(G100=$A$5,$B$5*METLTask4[[#This Row],[CDR''s Weight]],IF(G100=$A$6,$B$6*METLTask4[[#This Row],[CDR''s Weight]],IF(G100=$A$7,$B$7*METLTask4[[#This Row],[CDR''s Weight]]))))</f>
        <v/>
      </c>
      <c r="K100" s="25">
        <f>VLOOKUP(METLTask4[[#This Row],[Commander''s Assessment]],Table220[],2,FALSE)*(1-(($I$93:$I$102-1)*(100/MAX($I$93:$I$102)/100)))</f>
        <v>0.19999999999999996</v>
      </c>
      <c r="L100" s="26"/>
      <c r="M100" s="25"/>
      <c r="N100" s="25"/>
      <c r="O100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00" s="43"/>
    </row>
    <row r="101" spans="5:16" hidden="1" outlineLevel="1" x14ac:dyDescent="0.3">
      <c r="E101" s="27" t="s">
        <v>24</v>
      </c>
      <c r="F101" s="33"/>
      <c r="G101" s="20" t="s">
        <v>3</v>
      </c>
      <c r="H101" s="35" t="str">
        <f>IF(ISBLANK(METLTask4[[#This Row],[CDR''s Weight]]),"",VLOOKUP(METLTask4[[#This Row],[Commander''s Assessment]],Table220[],2,FALSE)*(1-(METLTask4[CDR''s Weight]-1)*(100/MAX(METLTask4[CDR''s Weight])/100)))</f>
        <v/>
      </c>
      <c r="I101" s="28">
        <v>10</v>
      </c>
      <c r="J101" s="24" t="str">
        <f>IF(ISNUMBER(SEARCH("→",METLTask4[[#This Row],[METL Task 4]])),"",IF(G101=$A$5,$B$5*METLTask4[[#This Row],[CDR''s Weight]],IF(G101=$A$6,$B$6*METLTask4[[#This Row],[CDR''s Weight]],IF(G101=$A$7,$B$7*METLTask4[[#This Row],[CDR''s Weight]]))))</f>
        <v/>
      </c>
      <c r="K101" s="25">
        <f>VLOOKUP(METLTask4[[#This Row],[Commander''s Assessment]],Table220[],2,FALSE)*(1-(($I$93:$I$102-1)*(100/MAX($I$93:$I$102)/100)))</f>
        <v>9.999999999999998E-4</v>
      </c>
      <c r="L101" s="26"/>
      <c r="M101" s="25"/>
      <c r="N101" s="25"/>
      <c r="O101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01" s="43"/>
    </row>
    <row r="102" spans="5:16" hidden="1" outlineLevel="1" x14ac:dyDescent="0.3">
      <c r="E102" s="27" t="s">
        <v>24</v>
      </c>
      <c r="F102" s="31"/>
      <c r="G102" s="20" t="s">
        <v>3</v>
      </c>
      <c r="H102" s="35" t="str">
        <f>IF(ISBLANK(METLTask4[[#This Row],[CDR''s Weight]]),"",VLOOKUP(METLTask4[[#This Row],[Commander''s Assessment]],Table220[],2,FALSE)*(1-(METLTask4[CDR''s Weight]-1)*(100/MAX(METLTask4[CDR''s Weight])/100)))</f>
        <v/>
      </c>
      <c r="I102" s="29">
        <v>1</v>
      </c>
      <c r="J102" s="24" t="str">
        <f>IF(ISNUMBER(SEARCH("→",METLTask4[[#This Row],[METL Task 4]])),"",IF(G102=$A$5,$B$5*METLTask4[[#This Row],[CDR''s Weight]],IF(G102=$A$6,$B$6*METLTask4[[#This Row],[CDR''s Weight]],IF(G102=$A$7,$B$7*METLTask4[[#This Row],[CDR''s Weight]]))))</f>
        <v/>
      </c>
      <c r="K102" s="25">
        <f>VLOOKUP(METLTask4[[#This Row],[Commander''s Assessment]],Table220[],2,FALSE)*(1-(($I$93:$I$102-1)*(100/MAX($I$93:$I$102)/100)))</f>
        <v>0.01</v>
      </c>
      <c r="L102" s="26"/>
      <c r="M102" s="21"/>
      <c r="N102" s="21"/>
      <c r="O102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02" s="43"/>
    </row>
    <row r="103" spans="5:16" collapsed="1" x14ac:dyDescent="0.3">
      <c r="E103" s="22" t="s">
        <v>16</v>
      </c>
      <c r="F103" s="20">
        <v>10</v>
      </c>
      <c r="G103" s="20" t="s">
        <v>18</v>
      </c>
      <c r="H103" s="35">
        <f>IF(ISBLANK(METLTask4[[#This Row],[CDR''s Weight]]),"",VLOOKUP(METLTask4[[#This Row],[Commander''s Assessment]],Table220[],2,FALSE)*(1-(METLTask4[CDR''s Weight]-1)*(100/MAX(METLTask4[CDR''s Weight])/100)))</f>
        <v>9.9999999999999978E-2</v>
      </c>
      <c r="I103" s="23"/>
      <c r="J103" s="24">
        <f>IF(ISNUMBER(SEARCH("→",METLTask4[[#This Row],[METL Task 4]])),"",IF(G103=$A$5,$B$5*METLTask4[[#This Row],[CDR''s Weight]],IF(G103=$A$6,$B$6*METLTask4[[#This Row],[CDR''s Weight]],IF(G103=$A$7,$B$7*METLTask4[[#This Row],[CDR''s Weight]]))))</f>
        <v>10</v>
      </c>
      <c r="K103" s="25" t="str">
        <f>IF(ISNUMBER(METLTask4[[#This Row],[Total]]),"",VLOOKUP(METLTask4[[#This Row],[Commander''s Assessment]],Table220[],2,FALSE)*(1-(($I$104:$I$113)*(100/MAX($I$104:$I$113)/100))))</f>
        <v/>
      </c>
      <c r="L103" s="26">
        <f>SUM(I104:I113)</f>
        <v>55</v>
      </c>
      <c r="M103" s="25">
        <f>SUM(K104:K113)*10</f>
        <v>37.61</v>
      </c>
      <c r="N103" s="25">
        <f>METLTask4[[#This Row],[New SB Total]]/METLTask4[[#This Row],[New SB Weight]]</f>
        <v>0.68381818181818177</v>
      </c>
      <c r="O103" s="2" t="str">
        <f>IF(ISBLANK(METLTask4[[#This Row],[calc]]),"",IF(METLTask4[[#This Row],[calc]]&gt;=0.66,$A$5,IF(AND(METLTask4[[#This Row],[calc]]&lt;0.66,METLTask4[[#This Row],[calc]]&gt;=0.33),$A$6,IF(METLTask4[[#This Row],[calc]]&lt;0.33,"U"))))</f>
        <v>T</v>
      </c>
      <c r="P103" s="43"/>
    </row>
    <row r="104" spans="5:16" hidden="1" outlineLevel="1" x14ac:dyDescent="0.3">
      <c r="E104" s="27" t="s">
        <v>33</v>
      </c>
      <c r="F104" s="33"/>
      <c r="G104" s="20" t="s">
        <v>2</v>
      </c>
      <c r="H104" s="35" t="str">
        <f>IF(ISBLANK(METLTask4[[#This Row],[CDR''s Weight]]),"",VLOOKUP(METLTask4[[#This Row],[Commander''s Assessment]],Table220[],2,FALSE)*(1-(METLTask4[CDR''s Weight]-1)*(100/MAX(METLTask4[CDR''s Weight])/100)))</f>
        <v/>
      </c>
      <c r="I104" s="28">
        <v>2</v>
      </c>
      <c r="J104" s="24" t="str">
        <f>IF(ISNUMBER(SEARCH("→",METLTask4[[#This Row],[METL Task 4]])),"",IF(G104=$A$5,$B$5*METLTask4[[#This Row],[CDR''s Weight]],IF(G104=$A$6,$B$6*METLTask4[[#This Row],[CDR''s Weight]],IF(G104=$A$7,$B$7*METLTask4[[#This Row],[CDR''s Weight]]))))</f>
        <v/>
      </c>
      <c r="K104" s="25">
        <f>VLOOKUP(METLTask4[[#This Row],[Commander''s Assessment]],Table220[],2,FALSE)*(1-(($I$104:$I$113-1)*(100/MAX($I$104:$I$113)/100)))</f>
        <v>0.45</v>
      </c>
      <c r="L104" s="26"/>
      <c r="M104" s="25"/>
      <c r="N104" s="25"/>
      <c r="O104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04" s="43"/>
    </row>
    <row r="105" spans="5:16" hidden="1" outlineLevel="1" x14ac:dyDescent="0.3">
      <c r="E105" s="27" t="s">
        <v>24</v>
      </c>
      <c r="F105" s="33"/>
      <c r="G105" s="20" t="s">
        <v>1</v>
      </c>
      <c r="H105" s="35" t="str">
        <f>IF(ISBLANK(METLTask4[[#This Row],[CDR''s Weight]]),"",VLOOKUP(METLTask4[[#This Row],[Commander''s Assessment]],Table220[],2,FALSE)*(1-(METLTask4[CDR''s Weight]-1)*(100/MAX(METLTask4[CDR''s Weight])/100)))</f>
        <v/>
      </c>
      <c r="I105" s="28">
        <v>3</v>
      </c>
      <c r="J105" s="24" t="str">
        <f>IF(ISNUMBER(SEARCH("→",METLTask4[[#This Row],[METL Task 4]])),"",IF(G105=$A$5,$B$5*METLTask4[[#This Row],[CDR''s Weight]],IF(G105=$A$6,$B$6*METLTask4[[#This Row],[CDR''s Weight]],IF(G105=$A$7,$B$7*METLTask4[[#This Row],[CDR''s Weight]]))))</f>
        <v/>
      </c>
      <c r="K105" s="25">
        <f>VLOOKUP(METLTask4[[#This Row],[Commander''s Assessment]],Table220[],2,FALSE)*(1-(($I$104:$I$113-1)*(100/MAX($I$104:$I$113)/100)))</f>
        <v>0.8</v>
      </c>
      <c r="L105" s="26"/>
      <c r="M105" s="25"/>
      <c r="N105" s="25"/>
      <c r="O105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05" s="43"/>
    </row>
    <row r="106" spans="5:16" hidden="1" outlineLevel="1" x14ac:dyDescent="0.3">
      <c r="E106" s="27" t="s">
        <v>24</v>
      </c>
      <c r="F106" s="31"/>
      <c r="G106" s="20" t="s">
        <v>1</v>
      </c>
      <c r="H106" s="35" t="str">
        <f>IF(ISBLANK(METLTask4[[#This Row],[CDR''s Weight]]),"",VLOOKUP(METLTask4[[#This Row],[Commander''s Assessment]],Table220[],2,FALSE)*(1-(METLTask4[CDR''s Weight]-1)*(100/MAX(METLTask4[CDR''s Weight])/100)))</f>
        <v/>
      </c>
      <c r="I106" s="28">
        <v>4</v>
      </c>
      <c r="J106" s="24" t="str">
        <f>IF(ISNUMBER(SEARCH("→",METLTask4[[#This Row],[METL Task 4]])),"",IF(G106=$A$5,$B$5*METLTask4[[#This Row],[CDR''s Weight]],IF(G106=$A$6,$B$6*METLTask4[[#This Row],[CDR''s Weight]],IF(G106=$A$7,$B$7*METLTask4[[#This Row],[CDR''s Weight]]))))</f>
        <v/>
      </c>
      <c r="K106" s="25">
        <f>VLOOKUP(METLTask4[[#This Row],[Commander''s Assessment]],Table220[],2,FALSE)*(1-(($I$104:$I$113-1)*(100/MAX($I$104:$I$113)/100)))</f>
        <v>0.7</v>
      </c>
      <c r="L106" s="26"/>
      <c r="M106" s="25"/>
      <c r="N106" s="25"/>
      <c r="O106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06" s="43"/>
    </row>
    <row r="107" spans="5:16" hidden="1" outlineLevel="1" x14ac:dyDescent="0.3">
      <c r="E107" s="27" t="s">
        <v>24</v>
      </c>
      <c r="F107" s="33"/>
      <c r="G107" s="20" t="s">
        <v>1</v>
      </c>
      <c r="H107" s="35" t="str">
        <f>IF(ISBLANK(METLTask4[[#This Row],[CDR''s Weight]]),"",VLOOKUP(METLTask4[[#This Row],[Commander''s Assessment]],Table220[],2,FALSE)*(1-(METLTask4[CDR''s Weight]-1)*(100/MAX(METLTask4[CDR''s Weight])/100)))</f>
        <v/>
      </c>
      <c r="I107" s="28">
        <v>5</v>
      </c>
      <c r="J107" s="24" t="str">
        <f>IF(ISNUMBER(SEARCH("→",METLTask4[[#This Row],[METL Task 4]])),"",IF(G107=$A$5,$B$5*METLTask4[[#This Row],[CDR''s Weight]],IF(G107=$A$6,$B$6*METLTask4[[#This Row],[CDR''s Weight]],IF(G107=$A$7,$B$7*METLTask4[[#This Row],[CDR''s Weight]]))))</f>
        <v/>
      </c>
      <c r="K107" s="25">
        <f>VLOOKUP(METLTask4[[#This Row],[Commander''s Assessment]],Table220[],2,FALSE)*(1-(($I$104:$I$113-1)*(100/MAX($I$104:$I$113)/100)))</f>
        <v>0.6</v>
      </c>
      <c r="L107" s="26"/>
      <c r="M107" s="25"/>
      <c r="N107" s="25"/>
      <c r="O107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07" s="43"/>
    </row>
    <row r="108" spans="5:16" hidden="1" outlineLevel="1" x14ac:dyDescent="0.3">
      <c r="E108" s="27" t="s">
        <v>24</v>
      </c>
      <c r="F108" s="33"/>
      <c r="G108" s="20" t="s">
        <v>1</v>
      </c>
      <c r="H108" s="35" t="str">
        <f>IF(ISBLANK(METLTask4[[#This Row],[CDR''s Weight]]),"",VLOOKUP(METLTask4[[#This Row],[Commander''s Assessment]],Table220[],2,FALSE)*(1-(METLTask4[CDR''s Weight]-1)*(100/MAX(METLTask4[CDR''s Weight])/100)))</f>
        <v/>
      </c>
      <c r="I108" s="28">
        <v>6</v>
      </c>
      <c r="J108" s="24" t="str">
        <f>IF(ISNUMBER(SEARCH("→",METLTask4[[#This Row],[METL Task 4]])),"",IF(G108=$A$5,$B$5*METLTask4[[#This Row],[CDR''s Weight]],IF(G108=$A$6,$B$6*METLTask4[[#This Row],[CDR''s Weight]],IF(G108=$A$7,$B$7*METLTask4[[#This Row],[CDR''s Weight]]))))</f>
        <v/>
      </c>
      <c r="K108" s="25">
        <f>VLOOKUP(METLTask4[[#This Row],[Commander''s Assessment]],Table220[],2,FALSE)*(1-(($I$104:$I$113-1)*(100/MAX($I$104:$I$113)/100)))</f>
        <v>0.5</v>
      </c>
      <c r="L108" s="26"/>
      <c r="M108" s="25"/>
      <c r="N108" s="25"/>
      <c r="O108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08" s="43"/>
    </row>
    <row r="109" spans="5:16" hidden="1" outlineLevel="1" x14ac:dyDescent="0.3">
      <c r="E109" s="27" t="s">
        <v>24</v>
      </c>
      <c r="F109" s="33"/>
      <c r="G109" s="20" t="s">
        <v>2</v>
      </c>
      <c r="H109" s="35" t="str">
        <f>IF(ISBLANK(METLTask4[[#This Row],[CDR''s Weight]]),"",VLOOKUP(METLTask4[[#This Row],[Commander''s Assessment]],Table220[],2,FALSE)*(1-(METLTask4[CDR''s Weight]-1)*(100/MAX(METLTask4[CDR''s Weight])/100)))</f>
        <v/>
      </c>
      <c r="I109" s="28">
        <v>7</v>
      </c>
      <c r="J109" s="24" t="str">
        <f>IF(ISNUMBER(SEARCH("→",METLTask4[[#This Row],[METL Task 4]])),"",IF(G109=$A$5,$B$5*METLTask4[[#This Row],[CDR''s Weight]],IF(G109=$A$6,$B$6*METLTask4[[#This Row],[CDR''s Weight]],IF(G109=$A$7,$B$7*METLTask4[[#This Row],[CDR''s Weight]]))))</f>
        <v/>
      </c>
      <c r="K109" s="25">
        <f>VLOOKUP(METLTask4[[#This Row],[Commander''s Assessment]],Table220[],2,FALSE)*(1-(($I$104:$I$113-1)*(100/MAX($I$104:$I$113)/100)))</f>
        <v>0.19999999999999996</v>
      </c>
      <c r="L109" s="26"/>
      <c r="M109" s="25"/>
      <c r="N109" s="25"/>
      <c r="O109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09" s="43"/>
    </row>
    <row r="110" spans="5:16" hidden="1" outlineLevel="1" x14ac:dyDescent="0.3">
      <c r="E110" s="27" t="s">
        <v>24</v>
      </c>
      <c r="F110" s="33"/>
      <c r="G110" s="20" t="s">
        <v>1</v>
      </c>
      <c r="H110" s="35" t="str">
        <f>IF(ISBLANK(METLTask4[[#This Row],[CDR''s Weight]]),"",VLOOKUP(METLTask4[[#This Row],[Commander''s Assessment]],Table220[],2,FALSE)*(1-(METLTask4[CDR''s Weight]-1)*(100/MAX(METLTask4[CDR''s Weight])/100)))</f>
        <v/>
      </c>
      <c r="I110" s="28">
        <v>8</v>
      </c>
      <c r="J110" s="24" t="str">
        <f>IF(ISNUMBER(SEARCH("→",METLTask4[[#This Row],[METL Task 4]])),"",IF(G110=$A$5,$B$5*METLTask4[[#This Row],[CDR''s Weight]],IF(G110=$A$6,$B$6*METLTask4[[#This Row],[CDR''s Weight]],IF(G110=$A$7,$B$7*METLTask4[[#This Row],[CDR''s Weight]]))))</f>
        <v/>
      </c>
      <c r="K110" s="25">
        <f>VLOOKUP(METLTask4[[#This Row],[Commander''s Assessment]],Table220[],2,FALSE)*(1-(($I$104:$I$113-1)*(100/MAX($I$104:$I$113)/100)))</f>
        <v>0.29999999999999993</v>
      </c>
      <c r="L110" s="26"/>
      <c r="M110" s="25"/>
      <c r="N110" s="25"/>
      <c r="O110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10" s="43"/>
    </row>
    <row r="111" spans="5:16" hidden="1" outlineLevel="1" x14ac:dyDescent="0.3">
      <c r="E111" s="27" t="s">
        <v>24</v>
      </c>
      <c r="F111" s="33"/>
      <c r="G111" s="20" t="s">
        <v>1</v>
      </c>
      <c r="H111" s="35" t="str">
        <f>IF(ISBLANK(METLTask4[[#This Row],[CDR''s Weight]]),"",VLOOKUP(METLTask4[[#This Row],[Commander''s Assessment]],Table220[],2,FALSE)*(1-(METLTask4[CDR''s Weight]-1)*(100/MAX(METLTask4[CDR''s Weight])/100)))</f>
        <v/>
      </c>
      <c r="I111" s="28">
        <v>9</v>
      </c>
      <c r="J111" s="24" t="str">
        <f>IF(ISNUMBER(SEARCH("→",METLTask4[[#This Row],[METL Task 4]])),"",IF(G111=$A$5,$B$5*METLTask4[[#This Row],[CDR''s Weight]],IF(G111=$A$6,$B$6*METLTask4[[#This Row],[CDR''s Weight]],IF(G111=$A$7,$B$7*METLTask4[[#This Row],[CDR''s Weight]]))))</f>
        <v/>
      </c>
      <c r="K111" s="25">
        <f>VLOOKUP(METLTask4[[#This Row],[Commander''s Assessment]],Table220[],2,FALSE)*(1-(($I$104:$I$113-1)*(100/MAX($I$104:$I$113)/100)))</f>
        <v>0.19999999999999996</v>
      </c>
      <c r="L111" s="26"/>
      <c r="M111" s="25"/>
      <c r="N111" s="25"/>
      <c r="O111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11" s="43"/>
    </row>
    <row r="112" spans="5:16" hidden="1" outlineLevel="1" x14ac:dyDescent="0.3">
      <c r="E112" s="27" t="s">
        <v>24</v>
      </c>
      <c r="F112" s="33"/>
      <c r="G112" s="20" t="s">
        <v>3</v>
      </c>
      <c r="H112" s="35" t="str">
        <f>IF(ISBLANK(METLTask4[[#This Row],[CDR''s Weight]]),"",VLOOKUP(METLTask4[[#This Row],[Commander''s Assessment]],Table220[],2,FALSE)*(1-(METLTask4[CDR''s Weight]-1)*(100/MAX(METLTask4[CDR''s Weight])/100)))</f>
        <v/>
      </c>
      <c r="I112" s="28">
        <v>10</v>
      </c>
      <c r="J112" s="24" t="str">
        <f>IF(ISNUMBER(SEARCH("→",METLTask4[[#This Row],[METL Task 4]])),"",IF(G112=$A$5,$B$5*METLTask4[[#This Row],[CDR''s Weight]],IF(G112=$A$6,$B$6*METLTask4[[#This Row],[CDR''s Weight]],IF(G112=$A$7,$B$7*METLTask4[[#This Row],[CDR''s Weight]]))))</f>
        <v/>
      </c>
      <c r="K112" s="25">
        <f>VLOOKUP(METLTask4[[#This Row],[Commander''s Assessment]],Table220[],2,FALSE)*(1-(($I$104:$I$113-1)*(100/MAX($I$104:$I$113)/100)))</f>
        <v>9.999999999999998E-4</v>
      </c>
      <c r="L112" s="26"/>
      <c r="M112" s="25"/>
      <c r="N112" s="25"/>
      <c r="O112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12" s="43"/>
    </row>
    <row r="113" spans="5:16" hidden="1" outlineLevel="1" x14ac:dyDescent="0.3">
      <c r="E113" s="27" t="s">
        <v>24</v>
      </c>
      <c r="F113" s="31"/>
      <c r="G113" s="20" t="s">
        <v>3</v>
      </c>
      <c r="H113" s="35" t="str">
        <f>IF(ISBLANK(METLTask4[[#This Row],[CDR''s Weight]]),"",VLOOKUP(METLTask4[[#This Row],[Commander''s Assessment]],Table220[],2,FALSE)*(1-(METLTask4[CDR''s Weight]-1)*(100/MAX(METLTask4[CDR''s Weight])/100)))</f>
        <v/>
      </c>
      <c r="I113" s="29">
        <v>1</v>
      </c>
      <c r="J113" s="24" t="str">
        <f>IF(ISNUMBER(SEARCH("→",METLTask4[[#This Row],[METL Task 4]])),"",IF(G113=$A$5,$B$5*METLTask4[[#This Row],[CDR''s Weight]],IF(G113=$A$6,$B$6*METLTask4[[#This Row],[CDR''s Weight]],IF(G113=$A$7,$B$7*METLTask4[[#This Row],[CDR''s Weight]]))))</f>
        <v/>
      </c>
      <c r="K113" s="25">
        <f>VLOOKUP(METLTask4[[#This Row],[Commander''s Assessment]],Table220[],2,FALSE)*(1-(($I$104:$I$113-1)*(100/MAX($I$104:$I$113)/100)))</f>
        <v>0.01</v>
      </c>
      <c r="L113" s="26"/>
      <c r="M113" s="21"/>
      <c r="N113" s="21"/>
      <c r="O113" s="18" t="str">
        <f>IF(ISBLANK(METLTask4[[#This Row],[calc]]),"",IF(METLTask4[[#This Row],[calc]]&gt;=0.66,$A$5,IF(AND(METLTask4[[#This Row],[calc]]&lt;0.66,METLTask4[[#This Row],[calc]]&gt;=0.33),$A$6,IF(METLTask4[[#This Row],[calc]]&lt;0.33,"U"))))</f>
        <v/>
      </c>
      <c r="P113" s="43"/>
    </row>
    <row r="114" spans="5:16" collapsed="1" x14ac:dyDescent="0.3">
      <c r="E114" s="3" t="s">
        <v>5</v>
      </c>
      <c r="F114" s="4">
        <f>SUBTOTAL(109,METLTask4[CDR''s Weight])</f>
        <v>55</v>
      </c>
      <c r="G114" s="4"/>
      <c r="H114" s="36"/>
      <c r="I114" s="5"/>
      <c r="J114" s="5">
        <f>SUBTOTAL(109,METLTask4[Total])</f>
        <v>44.59</v>
      </c>
      <c r="K114" s="6">
        <f>METLTask4[[#Totals],[Total]]/METLTask4[[#Totals],[CDR''s Weight]]</f>
        <v>0.81072727272727274</v>
      </c>
      <c r="L114" s="3"/>
      <c r="M114" s="3"/>
      <c r="N114" s="3"/>
      <c r="O114" s="3"/>
      <c r="P114" s="45"/>
    </row>
  </sheetData>
  <conditionalFormatting sqref="O15 D3 G4:H15 O4">
    <cfRule type="cellIs" dxfId="156" priority="52" operator="equal">
      <formula>"u"</formula>
    </cfRule>
    <cfRule type="cellIs" dxfId="155" priority="53" operator="equal">
      <formula>"T"</formula>
    </cfRule>
    <cfRule type="cellIs" dxfId="154" priority="54" operator="equal">
      <formula>"P"</formula>
    </cfRule>
  </conditionalFormatting>
  <conditionalFormatting sqref="G16:H25">
    <cfRule type="cellIs" dxfId="153" priority="49" operator="equal">
      <formula>"u"</formula>
    </cfRule>
    <cfRule type="cellIs" dxfId="152" priority="50" operator="equal">
      <formula>"T"</formula>
    </cfRule>
    <cfRule type="cellIs" dxfId="151" priority="51" operator="equal">
      <formula>"P"</formula>
    </cfRule>
  </conditionalFormatting>
  <conditionalFormatting sqref="O26 G26:H26">
    <cfRule type="cellIs" dxfId="150" priority="46" operator="equal">
      <formula>"u"</formula>
    </cfRule>
    <cfRule type="cellIs" dxfId="149" priority="47" operator="equal">
      <formula>"T"</formula>
    </cfRule>
    <cfRule type="cellIs" dxfId="148" priority="48" operator="equal">
      <formula>"P"</formula>
    </cfRule>
  </conditionalFormatting>
  <conditionalFormatting sqref="G27:H36">
    <cfRule type="cellIs" dxfId="147" priority="43" operator="equal">
      <formula>"u"</formula>
    </cfRule>
    <cfRule type="cellIs" dxfId="146" priority="44" operator="equal">
      <formula>"T"</formula>
    </cfRule>
    <cfRule type="cellIs" dxfId="145" priority="45" operator="equal">
      <formula>"P"</formula>
    </cfRule>
  </conditionalFormatting>
  <conditionalFormatting sqref="O37 G37:H37">
    <cfRule type="cellIs" dxfId="144" priority="40" operator="equal">
      <formula>"u"</formula>
    </cfRule>
    <cfRule type="cellIs" dxfId="143" priority="41" operator="equal">
      <formula>"T"</formula>
    </cfRule>
    <cfRule type="cellIs" dxfId="142" priority="42" operator="equal">
      <formula>"P"</formula>
    </cfRule>
  </conditionalFormatting>
  <conditionalFormatting sqref="G38:H47">
    <cfRule type="cellIs" dxfId="141" priority="37" operator="equal">
      <formula>"u"</formula>
    </cfRule>
    <cfRule type="cellIs" dxfId="140" priority="38" operator="equal">
      <formula>"T"</formula>
    </cfRule>
    <cfRule type="cellIs" dxfId="139" priority="39" operator="equal">
      <formula>"P"</formula>
    </cfRule>
  </conditionalFormatting>
  <conditionalFormatting sqref="O48 G48:H48">
    <cfRule type="cellIs" dxfId="138" priority="34" operator="equal">
      <formula>"u"</formula>
    </cfRule>
    <cfRule type="cellIs" dxfId="137" priority="35" operator="equal">
      <formula>"T"</formula>
    </cfRule>
    <cfRule type="cellIs" dxfId="136" priority="36" operator="equal">
      <formula>"P"</formula>
    </cfRule>
  </conditionalFormatting>
  <conditionalFormatting sqref="G49:H58">
    <cfRule type="cellIs" dxfId="135" priority="31" operator="equal">
      <formula>"u"</formula>
    </cfRule>
    <cfRule type="cellIs" dxfId="134" priority="32" operator="equal">
      <formula>"T"</formula>
    </cfRule>
    <cfRule type="cellIs" dxfId="133" priority="33" operator="equal">
      <formula>"P"</formula>
    </cfRule>
  </conditionalFormatting>
  <conditionalFormatting sqref="O59 G59:H59">
    <cfRule type="cellIs" dxfId="132" priority="28" operator="equal">
      <formula>"u"</formula>
    </cfRule>
    <cfRule type="cellIs" dxfId="131" priority="29" operator="equal">
      <formula>"T"</formula>
    </cfRule>
    <cfRule type="cellIs" dxfId="130" priority="30" operator="equal">
      <formula>"P"</formula>
    </cfRule>
  </conditionalFormatting>
  <conditionalFormatting sqref="G60:H69">
    <cfRule type="cellIs" dxfId="129" priority="25" operator="equal">
      <formula>"u"</formula>
    </cfRule>
    <cfRule type="cellIs" dxfId="128" priority="26" operator="equal">
      <formula>"T"</formula>
    </cfRule>
    <cfRule type="cellIs" dxfId="127" priority="27" operator="equal">
      <formula>"P"</formula>
    </cfRule>
  </conditionalFormatting>
  <conditionalFormatting sqref="O70 G70:H70">
    <cfRule type="cellIs" dxfId="126" priority="22" operator="equal">
      <formula>"u"</formula>
    </cfRule>
    <cfRule type="cellIs" dxfId="125" priority="23" operator="equal">
      <formula>"T"</formula>
    </cfRule>
    <cfRule type="cellIs" dxfId="124" priority="24" operator="equal">
      <formula>"P"</formula>
    </cfRule>
  </conditionalFormatting>
  <conditionalFormatting sqref="G71:H80">
    <cfRule type="cellIs" dxfId="123" priority="19" operator="equal">
      <formula>"u"</formula>
    </cfRule>
    <cfRule type="cellIs" dxfId="122" priority="20" operator="equal">
      <formula>"T"</formula>
    </cfRule>
    <cfRule type="cellIs" dxfId="121" priority="21" operator="equal">
      <formula>"P"</formula>
    </cfRule>
  </conditionalFormatting>
  <conditionalFormatting sqref="O81 G81:H81">
    <cfRule type="cellIs" dxfId="120" priority="16" operator="equal">
      <formula>"u"</formula>
    </cfRule>
    <cfRule type="cellIs" dxfId="119" priority="17" operator="equal">
      <formula>"T"</formula>
    </cfRule>
    <cfRule type="cellIs" dxfId="118" priority="18" operator="equal">
      <formula>"P"</formula>
    </cfRule>
  </conditionalFormatting>
  <conditionalFormatting sqref="G82:H91">
    <cfRule type="cellIs" dxfId="117" priority="13" operator="equal">
      <formula>"u"</formula>
    </cfRule>
    <cfRule type="cellIs" dxfId="116" priority="14" operator="equal">
      <formula>"T"</formula>
    </cfRule>
    <cfRule type="cellIs" dxfId="115" priority="15" operator="equal">
      <formula>"P"</formula>
    </cfRule>
  </conditionalFormatting>
  <conditionalFormatting sqref="O92 G92:H92">
    <cfRule type="cellIs" dxfId="114" priority="10" operator="equal">
      <formula>"u"</formula>
    </cfRule>
    <cfRule type="cellIs" dxfId="113" priority="11" operator="equal">
      <formula>"T"</formula>
    </cfRule>
    <cfRule type="cellIs" dxfId="112" priority="12" operator="equal">
      <formula>"P"</formula>
    </cfRule>
  </conditionalFormatting>
  <conditionalFormatting sqref="G93:H102">
    <cfRule type="cellIs" dxfId="111" priority="7" operator="equal">
      <formula>"u"</formula>
    </cfRule>
    <cfRule type="cellIs" dxfId="110" priority="8" operator="equal">
      <formula>"T"</formula>
    </cfRule>
    <cfRule type="cellIs" dxfId="109" priority="9" operator="equal">
      <formula>"P"</formula>
    </cfRule>
  </conditionalFormatting>
  <conditionalFormatting sqref="O103 G103:H103">
    <cfRule type="cellIs" dxfId="108" priority="4" operator="equal">
      <formula>"u"</formula>
    </cfRule>
    <cfRule type="cellIs" dxfId="107" priority="5" operator="equal">
      <formula>"T"</formula>
    </cfRule>
    <cfRule type="cellIs" dxfId="106" priority="6" operator="equal">
      <formula>"P"</formula>
    </cfRule>
  </conditionalFormatting>
  <conditionalFormatting sqref="G104:H113">
    <cfRule type="cellIs" dxfId="105" priority="1" operator="equal">
      <formula>"u"</formula>
    </cfRule>
    <cfRule type="cellIs" dxfId="104" priority="2" operator="equal">
      <formula>"T"</formula>
    </cfRule>
    <cfRule type="cellIs" dxfId="103" priority="3" operator="equal">
      <formula>"P"</formula>
    </cfRule>
  </conditionalFormatting>
  <dataValidations count="1">
    <dataValidation type="list" allowBlank="1" showInputMessage="1" showErrorMessage="1" sqref="G4:G113">
      <formula1>$A$5:$A$7</formula1>
    </dataValidation>
  </dataValidations>
  <pageMargins left="0.7" right="0.7" top="0.75" bottom="0.75" header="0.3" footer="0.3"/>
  <pageSetup scale="7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topLeftCell="C1" zoomScaleNormal="100" workbookViewId="0">
      <pane xSplit="12" ySplit="3" topLeftCell="O4" activePane="bottomRight" state="frozen"/>
      <selection activeCell="C1" sqref="C1"/>
      <selection pane="topRight" activeCell="O1" sqref="O1"/>
      <selection pane="bottomLeft" activeCell="C4" sqref="C4"/>
      <selection pane="bottomRight" activeCell="I26" sqref="I26"/>
    </sheetView>
  </sheetViews>
  <sheetFormatPr defaultRowHeight="14.4" outlineLevelRow="1" x14ac:dyDescent="0.3"/>
  <cols>
    <col min="1" max="2" width="9.88671875" hidden="1" customWidth="1"/>
    <col min="3" max="3" width="4.21875" customWidth="1"/>
    <col min="4" max="4" width="7.5546875" customWidth="1"/>
    <col min="5" max="5" width="26.88671875" customWidth="1"/>
    <col min="6" max="6" width="17.77734375" bestFit="1" customWidth="1"/>
    <col min="7" max="7" width="15.44140625" bestFit="1" customWidth="1"/>
    <col min="8" max="8" width="15.44140625" style="16" hidden="1" customWidth="1"/>
    <col min="9" max="9" width="20.21875" bestFit="1" customWidth="1"/>
    <col min="10" max="10" width="10" hidden="1" customWidth="1"/>
    <col min="11" max="11" width="16.77734375" hidden="1" customWidth="1"/>
    <col min="12" max="12" width="17.109375" hidden="1" customWidth="1"/>
    <col min="13" max="13" width="14.88671875" hidden="1" customWidth="1"/>
    <col min="14" max="14" width="6.5546875" hidden="1" customWidth="1"/>
    <col min="15" max="15" width="26.44140625" bestFit="1" customWidth="1"/>
    <col min="16" max="16" width="25.6640625" style="9" customWidth="1"/>
    <col min="17" max="17" width="10.109375" style="9" bestFit="1" customWidth="1"/>
    <col min="18" max="18" width="13.88671875" style="9" customWidth="1"/>
    <col min="19" max="21" width="9.109375" style="9"/>
  </cols>
  <sheetData>
    <row r="1" spans="1:16" ht="22.5" customHeight="1" x14ac:dyDescent="0.3">
      <c r="C1" s="8"/>
      <c r="D1" s="9"/>
      <c r="E1" s="9"/>
      <c r="F1" s="9"/>
      <c r="G1" s="9"/>
      <c r="H1" s="15"/>
      <c r="I1" s="9"/>
      <c r="J1" s="9"/>
      <c r="K1" s="9"/>
      <c r="L1" s="9"/>
      <c r="M1" s="9"/>
      <c r="N1" s="9"/>
      <c r="O1" s="9"/>
    </row>
    <row r="2" spans="1:16" ht="12.75" customHeight="1" x14ac:dyDescent="0.3">
      <c r="C2" s="8"/>
      <c r="D2" t="s">
        <v>12</v>
      </c>
      <c r="E2" s="9"/>
      <c r="F2" s="9"/>
      <c r="G2" s="9"/>
      <c r="H2" s="15"/>
      <c r="I2" s="9"/>
      <c r="J2" s="9"/>
      <c r="K2" s="9"/>
      <c r="L2" s="9"/>
      <c r="M2" s="9"/>
      <c r="N2" s="9"/>
      <c r="O2" s="9"/>
    </row>
    <row r="3" spans="1:16" ht="31.5" customHeight="1" thickBot="1" x14ac:dyDescent="0.35">
      <c r="B3" t="s">
        <v>6</v>
      </c>
      <c r="C3" s="8"/>
      <c r="D3" s="7" t="str">
        <f>IF((SUM(METLTask5[Column1])*10)/(SUM(METLTask5[CDR''s Weight]))&gt;=0.66,$A$5,IF(AND((SUM(METLTask5[Column1])*10)/(SUM(METLTask5[CDR''s Weight]))&lt;0.66,(SUM(METLTask5[Column1])*10)/(SUM(METLTask5[CDR''s Weight]))&gt;=0.33),$A$6,$A$7))</f>
        <v>T</v>
      </c>
      <c r="E3" s="19" t="s">
        <v>38</v>
      </c>
      <c r="F3" s="20" t="s">
        <v>0</v>
      </c>
      <c r="G3" s="20" t="s">
        <v>25</v>
      </c>
      <c r="H3" s="35" t="s">
        <v>19</v>
      </c>
      <c r="I3" s="20" t="s">
        <v>17</v>
      </c>
      <c r="J3" s="20" t="s">
        <v>4</v>
      </c>
      <c r="K3" s="21" t="s">
        <v>7</v>
      </c>
      <c r="L3" s="21" t="s">
        <v>8</v>
      </c>
      <c r="M3" s="21" t="s">
        <v>9</v>
      </c>
      <c r="N3" s="21" t="s">
        <v>10</v>
      </c>
      <c r="O3" s="1" t="s">
        <v>11</v>
      </c>
      <c r="P3" s="42" t="s">
        <v>43</v>
      </c>
    </row>
    <row r="4" spans="1:16" ht="15.45" customHeight="1" thickBot="1" x14ac:dyDescent="0.35">
      <c r="A4" t="s">
        <v>19</v>
      </c>
      <c r="B4" t="s">
        <v>20</v>
      </c>
      <c r="C4" s="8"/>
      <c r="D4" s="37">
        <f>(SUM(METLTask5[Column1])*10)/(SUM(METLTask5[CDR''s Weight]))</f>
        <v>0.69327272727272715</v>
      </c>
      <c r="E4" s="22" t="s">
        <v>34</v>
      </c>
      <c r="F4" s="20">
        <v>1</v>
      </c>
      <c r="G4" s="34" t="s">
        <v>1</v>
      </c>
      <c r="H4" s="35">
        <f>IF(ISBLANK(METLTask5[[#This Row],[CDR''s Weight]]),"",VLOOKUP(METLTask5[[#This Row],[Commander''s Assessment]],Table222[],2,FALSE)*(1-(METLTask5[CDR''s Weight]-1)*(100/MAX(METLTask5[CDR''s Weight])/100)))</f>
        <v>1</v>
      </c>
      <c r="I4" s="23"/>
      <c r="J4" s="24">
        <f>IF(ISNUMBER(SEARCH("→",METLTask5[[#This Row],[METL Task 5]])),"",IF(G4=$A$5,$B$5*METLTask5[[#This Row],[CDR''s Weight]],IF(G4=$A$6,$B$6*METLTask5[[#This Row],[CDR''s Weight]],IF(G4=$A$7,$B$7*METLTask5[[#This Row],[CDR''s Weight]]))))</f>
        <v>1</v>
      </c>
      <c r="K4" s="25" t="str">
        <f>IF(ISNUMBER(METLTask5[[#This Row],[Total]]),"",VLOOKUP(METLTask5[[#This Row],[Commander''s Assessment]],Table222[],2,FALSE)*(1-(($I$5:$I$14-1)*(100/MAX($I$5:$I$14)/100))))</f>
        <v/>
      </c>
      <c r="L4" s="26">
        <f>SUM(I5:I14)</f>
        <v>55</v>
      </c>
      <c r="M4" s="25">
        <f>SUM(K5:K14)*10</f>
        <v>37.61</v>
      </c>
      <c r="N4" s="25">
        <f>(SUM(K5:K14)*10)/(SUM(I5:I14))</f>
        <v>0.68381818181818177</v>
      </c>
      <c r="O4" s="2" t="str">
        <f>IF(ISBLANK(METLTask5[[#This Row],[calc]]),"",IF(METLTask5[[#This Row],[calc]]&gt;=0.66,$A$5,IF(AND(METLTask5[[#This Row],[calc]]&lt;0.66,METLTask5[[#This Row],[calc]]&gt;=0.33),$A$6,IF(METLTask5[[#This Row],[calc]]&lt;0.33,"U"))))</f>
        <v>T</v>
      </c>
      <c r="P4" s="43"/>
    </row>
    <row r="5" spans="1:16" hidden="1" outlineLevel="1" x14ac:dyDescent="0.3">
      <c r="A5" t="s">
        <v>1</v>
      </c>
      <c r="B5" s="14">
        <v>1</v>
      </c>
      <c r="C5" s="8"/>
      <c r="D5" s="9"/>
      <c r="E5" s="27" t="s">
        <v>33</v>
      </c>
      <c r="F5" s="32"/>
      <c r="G5" s="20" t="s">
        <v>2</v>
      </c>
      <c r="H5" s="35" t="str">
        <f>IF(ISBLANK(METLTask5[[#This Row],[CDR''s Weight]]),"",VLOOKUP(METLTask5[[#This Row],[Commander''s Assessment]],Table222[],2,FALSE)*(1-(METLTask5[CDR''s Weight]-1)*(100/MAX(METLTask5[CDR''s Weight])/100)))</f>
        <v/>
      </c>
      <c r="I5" s="28">
        <v>2</v>
      </c>
      <c r="J5" s="24" t="str">
        <f>IF(ISNUMBER(SEARCH("→",METLTask5[[#This Row],[METL Task 5]])),"",IF(G5=$A$5,$B$5*METLTask5[[#This Row],[CDR''s Weight]],IF(G5=$A$6,$B$6*METLTask5[[#This Row],[CDR''s Weight]],IF(G5=$A$7,$B$7*METLTask5[[#This Row],[CDR''s Weight]]))))</f>
        <v/>
      </c>
      <c r="K5" s="25">
        <f>VLOOKUP(METLTask5[[#This Row],[Commander''s Assessment]],Table222[],2,FALSE)*(1-(($I$5:$I$14-1)*(100/MAX($I$5:$I$14)/100)))</f>
        <v>0.45</v>
      </c>
      <c r="L5" s="26"/>
      <c r="M5" s="25"/>
      <c r="N5" s="25"/>
      <c r="O5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5" s="43"/>
    </row>
    <row r="6" spans="1:16" ht="16.649999999999999" hidden="1" customHeight="1" outlineLevel="1" x14ac:dyDescent="0.3">
      <c r="A6" t="s">
        <v>2</v>
      </c>
      <c r="B6" s="14">
        <v>0.5</v>
      </c>
      <c r="C6" s="8"/>
      <c r="D6" s="9"/>
      <c r="E6" s="27" t="s">
        <v>24</v>
      </c>
      <c r="F6" s="32"/>
      <c r="G6" s="20" t="s">
        <v>1</v>
      </c>
      <c r="H6" s="35" t="str">
        <f>IF(ISBLANK(METLTask5[[#This Row],[CDR''s Weight]]),"",VLOOKUP(METLTask5[[#This Row],[Commander''s Assessment]],Table222[],2,FALSE)*(1-(METLTask5[CDR''s Weight]-1)*(100/MAX(METLTask5[CDR''s Weight])/100)))</f>
        <v/>
      </c>
      <c r="I6" s="28">
        <v>3</v>
      </c>
      <c r="J6" s="24" t="str">
        <f>IF(ISNUMBER(SEARCH("→",METLTask5[[#This Row],[METL Task 5]])),"",IF(G6=$A$5,$B$5*METLTask5[[#This Row],[CDR''s Weight]],IF(G6=$A$6,$B$6*METLTask5[[#This Row],[CDR''s Weight]],IF(G6=$A$7,$B$7*METLTask5[[#This Row],[CDR''s Weight]]))))</f>
        <v/>
      </c>
      <c r="K6" s="25">
        <f>VLOOKUP(METLTask5[[#This Row],[Commander''s Assessment]],Table222[],2,FALSE)*(1-(($I$5:$I$14-1)*(100/MAX($I$5:$I$14)/100)))</f>
        <v>0.8</v>
      </c>
      <c r="L6" s="26"/>
      <c r="M6" s="25"/>
      <c r="N6" s="25"/>
      <c r="O6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6" s="43"/>
    </row>
    <row r="7" spans="1:16" hidden="1" outlineLevel="1" x14ac:dyDescent="0.3">
      <c r="A7" t="s">
        <v>3</v>
      </c>
      <c r="B7" s="14">
        <v>0.01</v>
      </c>
      <c r="C7" s="8"/>
      <c r="D7" s="9"/>
      <c r="E7" s="27" t="s">
        <v>24</v>
      </c>
      <c r="F7" s="32"/>
      <c r="G7" s="20" t="s">
        <v>1</v>
      </c>
      <c r="H7" s="35" t="str">
        <f>IF(ISBLANK(METLTask5[[#This Row],[CDR''s Weight]]),"",VLOOKUP(METLTask5[[#This Row],[Commander''s Assessment]],Table222[],2,FALSE)*(1-(METLTask5[CDR''s Weight]-1)*(100/MAX(METLTask5[CDR''s Weight])/100)))</f>
        <v/>
      </c>
      <c r="I7" s="28">
        <v>4</v>
      </c>
      <c r="J7" s="24" t="str">
        <f>IF(ISNUMBER(SEARCH("→",METLTask5[[#This Row],[METL Task 5]])),"",IF(G7=$A$5,$B$5*METLTask5[[#This Row],[CDR''s Weight]],IF(G7=$A$6,$B$6*METLTask5[[#This Row],[CDR''s Weight]],IF(G7=$A$7,$B$7*METLTask5[[#This Row],[CDR''s Weight]]))))</f>
        <v/>
      </c>
      <c r="K7" s="25">
        <f>VLOOKUP(METLTask5[[#This Row],[Commander''s Assessment]],Table222[],2,FALSE)*(1-(($I$5:$I$14-1)*(100/MAX($I$5:$I$14)/100)))</f>
        <v>0.7</v>
      </c>
      <c r="L7" s="26"/>
      <c r="M7" s="25"/>
      <c r="N7" s="25"/>
      <c r="O7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7" s="43"/>
    </row>
    <row r="8" spans="1:16" hidden="1" outlineLevel="1" x14ac:dyDescent="0.3">
      <c r="C8" s="8"/>
      <c r="D8" s="9"/>
      <c r="E8" s="27" t="s">
        <v>24</v>
      </c>
      <c r="F8" s="33"/>
      <c r="G8" s="20" t="s">
        <v>1</v>
      </c>
      <c r="H8" s="35" t="str">
        <f>IF(ISBLANK(METLTask5[[#This Row],[CDR''s Weight]]),"",VLOOKUP(METLTask5[[#This Row],[Commander''s Assessment]],Table222[],2,FALSE)*(1-(METLTask5[CDR''s Weight]-1)*(100/MAX(METLTask5[CDR''s Weight])/100)))</f>
        <v/>
      </c>
      <c r="I8" s="28">
        <v>5</v>
      </c>
      <c r="J8" s="24" t="str">
        <f>IF(ISNUMBER(SEARCH("→",METLTask5[[#This Row],[METL Task 5]])),"",IF(G8=$A$5,$B$5*METLTask5[[#This Row],[CDR''s Weight]],IF(G8=$A$6,$B$6*METLTask5[[#This Row],[CDR''s Weight]],IF(G8=$A$7,$B$7*METLTask5[[#This Row],[CDR''s Weight]]))))</f>
        <v/>
      </c>
      <c r="K8" s="25">
        <f>VLOOKUP(METLTask5[[#This Row],[Commander''s Assessment]],Table222[],2,FALSE)*(1-(($I$5:$I$14-1)*(100/MAX($I$5:$I$14)/100)))</f>
        <v>0.6</v>
      </c>
      <c r="L8" s="26"/>
      <c r="M8" s="25"/>
      <c r="N8" s="25"/>
      <c r="O8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8" s="43"/>
    </row>
    <row r="9" spans="1:16" hidden="1" outlineLevel="1" x14ac:dyDescent="0.3">
      <c r="C9" s="8"/>
      <c r="D9" s="9"/>
      <c r="E9" s="27" t="s">
        <v>24</v>
      </c>
      <c r="F9" s="33"/>
      <c r="G9" s="20" t="s">
        <v>1</v>
      </c>
      <c r="H9" s="35" t="str">
        <f>IF(ISBLANK(METLTask5[[#This Row],[CDR''s Weight]]),"",VLOOKUP(METLTask5[[#This Row],[Commander''s Assessment]],Table222[],2,FALSE)*(1-(METLTask5[CDR''s Weight]-1)*(100/MAX(METLTask5[CDR''s Weight])/100)))</f>
        <v/>
      </c>
      <c r="I9" s="28">
        <v>6</v>
      </c>
      <c r="J9" s="24" t="str">
        <f>IF(ISNUMBER(SEARCH("→",METLTask5[[#This Row],[METL Task 5]])),"",IF(G9=$A$5,$B$5*METLTask5[[#This Row],[CDR''s Weight]],IF(G9=$A$6,$B$6*METLTask5[[#This Row],[CDR''s Weight]],IF(G9=$A$7,$B$7*METLTask5[[#This Row],[CDR''s Weight]]))))</f>
        <v/>
      </c>
      <c r="K9" s="25">
        <f>VLOOKUP(METLTask5[[#This Row],[Commander''s Assessment]],Table222[],2,FALSE)*(1-(($I$5:$I$14-1)*(100/MAX($I$5:$I$14)/100)))</f>
        <v>0.5</v>
      </c>
      <c r="L9" s="26"/>
      <c r="M9" s="25"/>
      <c r="N9" s="25"/>
      <c r="O9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9" s="43"/>
    </row>
    <row r="10" spans="1:16" hidden="1" outlineLevel="1" x14ac:dyDescent="0.3">
      <c r="C10" s="8"/>
      <c r="D10" s="9"/>
      <c r="E10" s="27" t="s">
        <v>24</v>
      </c>
      <c r="F10" s="31"/>
      <c r="G10" s="20" t="s">
        <v>2</v>
      </c>
      <c r="H10" s="35" t="str">
        <f>IF(ISBLANK(METLTask5[[#This Row],[CDR''s Weight]]),"",VLOOKUP(METLTask5[[#This Row],[Commander''s Assessment]],Table222[],2,FALSE)*(1-(METLTask5[CDR''s Weight]-1)*(100/MAX(METLTask5[CDR''s Weight])/100)))</f>
        <v/>
      </c>
      <c r="I10" s="28">
        <v>7</v>
      </c>
      <c r="J10" s="24" t="str">
        <f>IF(ISNUMBER(SEARCH("→",METLTask5[[#This Row],[METL Task 5]])),"",IF(G10=$A$5,$B$5*METLTask5[[#This Row],[CDR''s Weight]],IF(G10=$A$6,$B$6*METLTask5[[#This Row],[CDR''s Weight]],IF(G10=$A$7,$B$7*METLTask5[[#This Row],[CDR''s Weight]]))))</f>
        <v/>
      </c>
      <c r="K10" s="25">
        <f>VLOOKUP(METLTask5[[#This Row],[Commander''s Assessment]],Table222[],2,FALSE)*(1-(($I$5:$I$14-1)*(100/MAX($I$5:$I$14)/100)))</f>
        <v>0.19999999999999996</v>
      </c>
      <c r="L10" s="26"/>
      <c r="M10" s="25"/>
      <c r="N10" s="25"/>
      <c r="O10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0" s="43"/>
    </row>
    <row r="11" spans="1:16" hidden="1" outlineLevel="1" x14ac:dyDescent="0.3">
      <c r="C11" s="8"/>
      <c r="D11" s="9"/>
      <c r="E11" s="27" t="s">
        <v>24</v>
      </c>
      <c r="F11" s="31"/>
      <c r="G11" s="20" t="s">
        <v>1</v>
      </c>
      <c r="H11" s="35" t="str">
        <f>IF(ISBLANK(METLTask5[[#This Row],[CDR''s Weight]]),"",VLOOKUP(METLTask5[[#This Row],[Commander''s Assessment]],Table222[],2,FALSE)*(1-(METLTask5[CDR''s Weight]-1)*(100/MAX(METLTask5[CDR''s Weight])/100)))</f>
        <v/>
      </c>
      <c r="I11" s="28">
        <v>8</v>
      </c>
      <c r="J11" s="24" t="str">
        <f>IF(ISNUMBER(SEARCH("→",METLTask5[[#This Row],[METL Task 5]])),"",IF(G11=$A$5,$B$5*METLTask5[[#This Row],[CDR''s Weight]],IF(G11=$A$6,$B$6*METLTask5[[#This Row],[CDR''s Weight]],IF(G11=$A$7,$B$7*METLTask5[[#This Row],[CDR''s Weight]]))))</f>
        <v/>
      </c>
      <c r="K11" s="25">
        <f>VLOOKUP(METLTask5[[#This Row],[Commander''s Assessment]],Table222[],2,FALSE)*(1-(($I$5:$I$14-1)*(100/MAX($I$5:$I$14)/100)))</f>
        <v>0.29999999999999993</v>
      </c>
      <c r="L11" s="26"/>
      <c r="M11" s="25"/>
      <c r="N11" s="25"/>
      <c r="O11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1" s="43"/>
    </row>
    <row r="12" spans="1:16" hidden="1" outlineLevel="1" x14ac:dyDescent="0.3">
      <c r="C12" s="8"/>
      <c r="D12" s="9"/>
      <c r="E12" s="27" t="s">
        <v>24</v>
      </c>
      <c r="F12" s="31"/>
      <c r="G12" s="20" t="s">
        <v>1</v>
      </c>
      <c r="H12" s="35" t="str">
        <f>IF(ISBLANK(METLTask5[[#This Row],[CDR''s Weight]]),"",VLOOKUP(METLTask5[[#This Row],[Commander''s Assessment]],Table222[],2,FALSE)*(1-(METLTask5[CDR''s Weight]-1)*(100/MAX(METLTask5[CDR''s Weight])/100)))</f>
        <v/>
      </c>
      <c r="I12" s="28">
        <v>9</v>
      </c>
      <c r="J12" s="24" t="str">
        <f>IF(ISNUMBER(SEARCH("→",METLTask5[[#This Row],[METL Task 5]])),"",IF(G12=$A$5,$B$5*METLTask5[[#This Row],[CDR''s Weight]],IF(G12=$A$6,$B$6*METLTask5[[#This Row],[CDR''s Weight]],IF(G12=$A$7,$B$7*METLTask5[[#This Row],[CDR''s Weight]]))))</f>
        <v/>
      </c>
      <c r="K12" s="25">
        <f>VLOOKUP(METLTask5[[#This Row],[Commander''s Assessment]],Table222[],2,FALSE)*(1-(($I$5:$I$14-1)*(100/MAX($I$5:$I$14)/100)))</f>
        <v>0.19999999999999996</v>
      </c>
      <c r="L12" s="26"/>
      <c r="M12" s="25"/>
      <c r="N12" s="25"/>
      <c r="O12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2" s="43"/>
    </row>
    <row r="13" spans="1:16" hidden="1" outlineLevel="1" x14ac:dyDescent="0.3">
      <c r="C13" s="8"/>
      <c r="D13" s="9"/>
      <c r="E13" s="27" t="s">
        <v>24</v>
      </c>
      <c r="F13" s="31"/>
      <c r="G13" s="20" t="s">
        <v>3</v>
      </c>
      <c r="H13" s="35" t="str">
        <f>IF(ISBLANK(METLTask5[[#This Row],[CDR''s Weight]]),"",VLOOKUP(METLTask5[[#This Row],[Commander''s Assessment]],Table222[],2,FALSE)*(1-(METLTask5[CDR''s Weight]-1)*(100/MAX(METLTask5[CDR''s Weight])/100)))</f>
        <v/>
      </c>
      <c r="I13" s="28">
        <v>10</v>
      </c>
      <c r="J13" s="24" t="str">
        <f>IF(ISNUMBER(SEARCH("→",METLTask5[[#This Row],[METL Task 5]])),"",IF(G13=$A$5,$B$5*METLTask5[[#This Row],[CDR''s Weight]],IF(G13=$A$6,$B$6*METLTask5[[#This Row],[CDR''s Weight]],IF(G13=$A$7,$B$7*METLTask5[[#This Row],[CDR''s Weight]]))))</f>
        <v/>
      </c>
      <c r="K13" s="25">
        <f>VLOOKUP(METLTask5[[#This Row],[Commander''s Assessment]],Table222[],2,FALSE)*(1-(($I$5:$I$14-1)*(100/MAX($I$5:$I$14)/100)))</f>
        <v>9.999999999999998E-4</v>
      </c>
      <c r="L13" s="26"/>
      <c r="M13" s="25"/>
      <c r="N13" s="25"/>
      <c r="O13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3" s="43"/>
    </row>
    <row r="14" spans="1:16" hidden="1" outlineLevel="1" x14ac:dyDescent="0.3">
      <c r="C14" s="8"/>
      <c r="D14" s="9"/>
      <c r="E14" s="27" t="s">
        <v>24</v>
      </c>
      <c r="F14" s="30"/>
      <c r="G14" s="20" t="s">
        <v>3</v>
      </c>
      <c r="H14" s="35" t="str">
        <f>IF(ISBLANK(METLTask5[[#This Row],[CDR''s Weight]]),"",VLOOKUP(METLTask5[[#This Row],[Commander''s Assessment]],Table222[],2,FALSE)*(1-(METLTask5[CDR''s Weight]-1)*(100/MAX(METLTask5[CDR''s Weight])/100)))</f>
        <v/>
      </c>
      <c r="I14" s="29">
        <v>1</v>
      </c>
      <c r="J14" s="24" t="str">
        <f>IF(ISNUMBER(SEARCH("→",METLTask5[[#This Row],[METL Task 5]])),"",IF(G14=$A$5,$B$5*METLTask5[[#This Row],[CDR''s Weight]],IF(G14=$A$6,$B$6*METLTask5[[#This Row],[CDR''s Weight]],IF(G14=$A$7,$B$7*METLTask5[[#This Row],[CDR''s Weight]]))))</f>
        <v/>
      </c>
      <c r="K14" s="25">
        <f>VLOOKUP(METLTask5[[#This Row],[Commander''s Assessment]],Table222[],2,FALSE)*(1-(($I$5:$I$14-1)*(100/MAX($I$5:$I$14)/100)))</f>
        <v>0.01</v>
      </c>
      <c r="L14" s="26"/>
      <c r="M14" s="21"/>
      <c r="N14" s="21"/>
      <c r="O14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4" s="43"/>
    </row>
    <row r="15" spans="1:16" collapsed="1" x14ac:dyDescent="0.3">
      <c r="C15" s="8"/>
      <c r="D15" s="9"/>
      <c r="E15" s="22" t="s">
        <v>16</v>
      </c>
      <c r="F15" s="20">
        <v>2</v>
      </c>
      <c r="G15" s="20" t="s">
        <v>1</v>
      </c>
      <c r="H15" s="35">
        <f>IF(ISBLANK(METLTask5[[#This Row],[CDR''s Weight]]),"",VLOOKUP(METLTask5[[#This Row],[Commander''s Assessment]],Table222[],2,FALSE)*(1-(METLTask5[CDR''s Weight]-1)*(100/MAX(METLTask5[CDR''s Weight])/100)))</f>
        <v>0.9</v>
      </c>
      <c r="I15" s="23"/>
      <c r="J15" s="24">
        <f>IF(ISNUMBER(SEARCH("→",METLTask5[[#This Row],[METL Task 5]])),"",IF(G15=$A$5,$B$5*METLTask5[[#This Row],[CDR''s Weight]],IF(G15=$A$6,$B$6*METLTask5[[#This Row],[CDR''s Weight]],IF(G15=$A$7,$B$7*METLTask5[[#This Row],[CDR''s Weight]]))))</f>
        <v>2</v>
      </c>
      <c r="K15" s="25" t="str">
        <f>IF(ISNUMBER(METLTask5[[#This Row],[Total]]),"",VLOOKUP(METLTask5[[#This Row],[Commander''s Assessment]],Table222[],2,FALSE)*(1-(($I$16:$I$25-1)*(100/MAX($I$16:$I$25)/100))))</f>
        <v/>
      </c>
      <c r="L15" s="26">
        <f>SUM(I16:I25)</f>
        <v>55</v>
      </c>
      <c r="M15" s="25">
        <f>SUM(K16:K25)*10</f>
        <v>33.609999999999992</v>
      </c>
      <c r="N15" s="25">
        <f>METLTask5[[#This Row],[New SB Total]]/METLTask5[[#This Row],[New SB Weight]]</f>
        <v>0.61109090909090891</v>
      </c>
      <c r="O15" s="2" t="str">
        <f>IF(ISBLANK(METLTask5[[#This Row],[calc]]),"",IF(METLTask5[[#This Row],[calc]]&gt;=0.66,$A$5,IF(AND(METLTask5[[#This Row],[calc]]&lt;0.66,METLTask5[[#This Row],[calc]]&gt;=0.33),$A$6,IF(METLTask5[[#This Row],[calc]]&lt;0.33,"U"))))</f>
        <v>P</v>
      </c>
      <c r="P15" s="43"/>
    </row>
    <row r="16" spans="1:16" hidden="1" outlineLevel="1" x14ac:dyDescent="0.3">
      <c r="B16" s="14"/>
      <c r="C16" s="8"/>
      <c r="D16" s="9"/>
      <c r="E16" s="27" t="s">
        <v>33</v>
      </c>
      <c r="F16" s="33"/>
      <c r="G16" s="20" t="s">
        <v>2</v>
      </c>
      <c r="H16" s="35" t="str">
        <f>IF(ISBLANK(METLTask5[[#This Row],[CDR''s Weight]]),"",VLOOKUP(METLTask5[[#This Row],[Commander''s Assessment]],Table222[],2,FALSE)*(1-(METLTask5[CDR''s Weight]-1)*(100/MAX(METLTask5[CDR''s Weight])/100)))</f>
        <v/>
      </c>
      <c r="I16" s="28">
        <v>2</v>
      </c>
      <c r="J16" s="24" t="str">
        <f>IF(ISNUMBER(SEARCH("→",METLTask5[[#This Row],[METL Task 5]])),"",IF(G16=$A$5,$B$5*METLTask5[[#This Row],[CDR''s Weight]],IF(G16=$A$6,$B$6*METLTask5[[#This Row],[CDR''s Weight]],IF(G16=$A$7,$B$7*METLTask5[[#This Row],[CDR''s Weight]]))))</f>
        <v/>
      </c>
      <c r="K16" s="25">
        <f>VLOOKUP(METLTask5[[#This Row],[Commander''s Assessment]],Table222[],2,FALSE)*(1-(($I$16:$I$25-1)*(100/MAX($I$16:$I$25)/100)))</f>
        <v>0.45</v>
      </c>
      <c r="L16" s="26"/>
      <c r="M16" s="25"/>
      <c r="N16" s="25"/>
      <c r="O16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6" s="43"/>
    </row>
    <row r="17" spans="2:16" ht="16.649999999999999" hidden="1" customHeight="1" outlineLevel="1" x14ac:dyDescent="0.3">
      <c r="B17" s="14"/>
      <c r="C17" s="8"/>
      <c r="D17" s="9"/>
      <c r="E17" s="27" t="s">
        <v>24</v>
      </c>
      <c r="F17" s="33"/>
      <c r="G17" s="20" t="s">
        <v>2</v>
      </c>
      <c r="H17" s="35" t="str">
        <f>IF(ISBLANK(METLTask5[[#This Row],[CDR''s Weight]]),"",VLOOKUP(METLTask5[[#This Row],[Commander''s Assessment]],Table222[],2,FALSE)*(1-(METLTask5[CDR''s Weight]-1)*(100/MAX(METLTask5[CDR''s Weight])/100)))</f>
        <v/>
      </c>
      <c r="I17" s="28">
        <v>3</v>
      </c>
      <c r="J17" s="24" t="str">
        <f>IF(ISNUMBER(SEARCH("→",METLTask5[[#This Row],[METL Task 5]])),"",IF(G17=$A$5,$B$5*METLTask5[[#This Row],[CDR''s Weight]],IF(G17=$A$6,$B$6*METLTask5[[#This Row],[CDR''s Weight]],IF(G17=$A$7,$B$7*METLTask5[[#This Row],[CDR''s Weight]]))))</f>
        <v/>
      </c>
      <c r="K17" s="25">
        <f>VLOOKUP(METLTask5[[#This Row],[Commander''s Assessment]],Table222[],2,FALSE)*(1-(($I$16:$I$25-1)*(100/MAX($I$16:$I$25)/100)))</f>
        <v>0.4</v>
      </c>
      <c r="L17" s="26"/>
      <c r="M17" s="25"/>
      <c r="N17" s="25"/>
      <c r="O17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7" s="43"/>
    </row>
    <row r="18" spans="2:16" hidden="1" outlineLevel="1" x14ac:dyDescent="0.3">
      <c r="B18" s="14"/>
      <c r="C18" s="8"/>
      <c r="D18" s="9"/>
      <c r="E18" s="27" t="s">
        <v>24</v>
      </c>
      <c r="F18" s="31"/>
      <c r="G18" s="20" t="s">
        <v>1</v>
      </c>
      <c r="H18" s="35" t="str">
        <f>IF(ISBLANK(METLTask5[[#This Row],[CDR''s Weight]]),"",VLOOKUP(METLTask5[[#This Row],[Commander''s Assessment]],Table222[],2,FALSE)*(1-(METLTask5[CDR''s Weight]-1)*(100/MAX(METLTask5[CDR''s Weight])/100)))</f>
        <v/>
      </c>
      <c r="I18" s="28">
        <v>4</v>
      </c>
      <c r="J18" s="24" t="str">
        <f>IF(ISNUMBER(SEARCH("→",METLTask5[[#This Row],[METL Task 5]])),"",IF(G18=$A$5,$B$5*METLTask5[[#This Row],[CDR''s Weight]],IF(G18=$A$6,$B$6*METLTask5[[#This Row],[CDR''s Weight]],IF(G18=$A$7,$B$7*METLTask5[[#This Row],[CDR''s Weight]]))))</f>
        <v/>
      </c>
      <c r="K18" s="25">
        <f>VLOOKUP(METLTask5[[#This Row],[Commander''s Assessment]],Table222[],2,FALSE)*(1-(($I$16:$I$25-1)*(100/MAX($I$16:$I$25)/100)))</f>
        <v>0.7</v>
      </c>
      <c r="L18" s="26"/>
      <c r="M18" s="25"/>
      <c r="N18" s="25"/>
      <c r="O18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8" s="43"/>
    </row>
    <row r="19" spans="2:16" hidden="1" outlineLevel="1" x14ac:dyDescent="0.3">
      <c r="C19" s="8"/>
      <c r="D19" s="9"/>
      <c r="E19" s="27" t="s">
        <v>24</v>
      </c>
      <c r="F19" s="33"/>
      <c r="G19" s="20" t="s">
        <v>1</v>
      </c>
      <c r="H19" s="35" t="str">
        <f>IF(ISBLANK(METLTask5[[#This Row],[CDR''s Weight]]),"",VLOOKUP(METLTask5[[#This Row],[Commander''s Assessment]],Table222[],2,FALSE)*(1-(METLTask5[CDR''s Weight]-1)*(100/MAX(METLTask5[CDR''s Weight])/100)))</f>
        <v/>
      </c>
      <c r="I19" s="28">
        <v>5</v>
      </c>
      <c r="J19" s="24" t="str">
        <f>IF(ISNUMBER(SEARCH("→",METLTask5[[#This Row],[METL Task 5]])),"",IF(G19=$A$5,$B$5*METLTask5[[#This Row],[CDR''s Weight]],IF(G19=$A$6,$B$6*METLTask5[[#This Row],[CDR''s Weight]],IF(G19=$A$7,$B$7*METLTask5[[#This Row],[CDR''s Weight]]))))</f>
        <v/>
      </c>
      <c r="K19" s="25">
        <f>VLOOKUP(METLTask5[[#This Row],[Commander''s Assessment]],Table222[],2,FALSE)*(1-(($I$16:$I$25-1)*(100/MAX($I$16:$I$25)/100)))</f>
        <v>0.6</v>
      </c>
      <c r="L19" s="26"/>
      <c r="M19" s="25"/>
      <c r="N19" s="25"/>
      <c r="O19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9" s="43"/>
    </row>
    <row r="20" spans="2:16" hidden="1" outlineLevel="1" x14ac:dyDescent="0.3">
      <c r="C20" s="8"/>
      <c r="D20" s="9"/>
      <c r="E20" s="27" t="s">
        <v>24</v>
      </c>
      <c r="F20" s="33"/>
      <c r="G20" s="20" t="s">
        <v>1</v>
      </c>
      <c r="H20" s="35" t="str">
        <f>IF(ISBLANK(METLTask5[[#This Row],[CDR''s Weight]]),"",VLOOKUP(METLTask5[[#This Row],[Commander''s Assessment]],Table222[],2,FALSE)*(1-(METLTask5[CDR''s Weight]-1)*(100/MAX(METLTask5[CDR''s Weight])/100)))</f>
        <v/>
      </c>
      <c r="I20" s="28">
        <v>6</v>
      </c>
      <c r="J20" s="24" t="str">
        <f>IF(ISNUMBER(SEARCH("→",METLTask5[[#This Row],[METL Task 5]])),"",IF(G20=$A$5,$B$5*METLTask5[[#This Row],[CDR''s Weight]],IF(G20=$A$6,$B$6*METLTask5[[#This Row],[CDR''s Weight]],IF(G20=$A$7,$B$7*METLTask5[[#This Row],[CDR''s Weight]]))))</f>
        <v/>
      </c>
      <c r="K20" s="25">
        <f>VLOOKUP(METLTask5[[#This Row],[Commander''s Assessment]],Table222[],2,FALSE)*(1-(($I$16:$I$25-1)*(100/MAX($I$16:$I$25)/100)))</f>
        <v>0.5</v>
      </c>
      <c r="L20" s="26"/>
      <c r="M20" s="25"/>
      <c r="N20" s="25"/>
      <c r="O20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20" s="43"/>
    </row>
    <row r="21" spans="2:16" hidden="1" outlineLevel="1" x14ac:dyDescent="0.3">
      <c r="C21" s="8"/>
      <c r="D21" s="9"/>
      <c r="E21" s="27" t="s">
        <v>24</v>
      </c>
      <c r="F21" s="33"/>
      <c r="G21" s="20" t="s">
        <v>2</v>
      </c>
      <c r="H21" s="35" t="str">
        <f>IF(ISBLANK(METLTask5[[#This Row],[CDR''s Weight]]),"",VLOOKUP(METLTask5[[#This Row],[Commander''s Assessment]],Table222[],2,FALSE)*(1-(METLTask5[CDR''s Weight]-1)*(100/MAX(METLTask5[CDR''s Weight])/100)))</f>
        <v/>
      </c>
      <c r="I21" s="28">
        <v>7</v>
      </c>
      <c r="J21" s="24" t="str">
        <f>IF(ISNUMBER(SEARCH("→",METLTask5[[#This Row],[METL Task 5]])),"",IF(G21=$A$5,$B$5*METLTask5[[#This Row],[CDR''s Weight]],IF(G21=$A$6,$B$6*METLTask5[[#This Row],[CDR''s Weight]],IF(G21=$A$7,$B$7*METLTask5[[#This Row],[CDR''s Weight]]))))</f>
        <v/>
      </c>
      <c r="K21" s="25">
        <f>VLOOKUP(METLTask5[[#This Row],[Commander''s Assessment]],Table222[],2,FALSE)*(1-(($I$16:$I$25-1)*(100/MAX($I$16:$I$25)/100)))</f>
        <v>0.19999999999999996</v>
      </c>
      <c r="L21" s="26"/>
      <c r="M21" s="25"/>
      <c r="N21" s="25"/>
      <c r="O21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21" s="43"/>
    </row>
    <row r="22" spans="2:16" hidden="1" outlineLevel="1" x14ac:dyDescent="0.3">
      <c r="C22" s="8"/>
      <c r="D22" s="9"/>
      <c r="E22" s="27" t="s">
        <v>24</v>
      </c>
      <c r="F22" s="33"/>
      <c r="G22" s="20" t="s">
        <v>1</v>
      </c>
      <c r="H22" s="35" t="str">
        <f>IF(ISBLANK(METLTask5[[#This Row],[CDR''s Weight]]),"",VLOOKUP(METLTask5[[#This Row],[Commander''s Assessment]],Table222[],2,FALSE)*(1-(METLTask5[CDR''s Weight]-1)*(100/MAX(METLTask5[CDR''s Weight])/100)))</f>
        <v/>
      </c>
      <c r="I22" s="28">
        <v>8</v>
      </c>
      <c r="J22" s="24" t="str">
        <f>IF(ISNUMBER(SEARCH("→",METLTask5[[#This Row],[METL Task 5]])),"",IF(G22=$A$5,$B$5*METLTask5[[#This Row],[CDR''s Weight]],IF(G22=$A$6,$B$6*METLTask5[[#This Row],[CDR''s Weight]],IF(G22=$A$7,$B$7*METLTask5[[#This Row],[CDR''s Weight]]))))</f>
        <v/>
      </c>
      <c r="K22" s="25">
        <f>VLOOKUP(METLTask5[[#This Row],[Commander''s Assessment]],Table222[],2,FALSE)*(1-(($I$16:$I$25-1)*(100/MAX($I$16:$I$25)/100)))</f>
        <v>0.29999999999999993</v>
      </c>
      <c r="L22" s="26"/>
      <c r="M22" s="25"/>
      <c r="N22" s="25"/>
      <c r="O22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22" s="43"/>
    </row>
    <row r="23" spans="2:16" hidden="1" outlineLevel="1" x14ac:dyDescent="0.3">
      <c r="C23" s="8"/>
      <c r="D23" s="9"/>
      <c r="E23" s="27" t="s">
        <v>24</v>
      </c>
      <c r="F23" s="33"/>
      <c r="G23" s="20" t="s">
        <v>1</v>
      </c>
      <c r="H23" s="35" t="str">
        <f>IF(ISBLANK(METLTask5[[#This Row],[CDR''s Weight]]),"",VLOOKUP(METLTask5[[#This Row],[Commander''s Assessment]],Table222[],2,FALSE)*(1-(METLTask5[CDR''s Weight]-1)*(100/MAX(METLTask5[CDR''s Weight])/100)))</f>
        <v/>
      </c>
      <c r="I23" s="28">
        <v>9</v>
      </c>
      <c r="J23" s="24" t="str">
        <f>IF(ISNUMBER(SEARCH("→",METLTask5[[#This Row],[METL Task 5]])),"",IF(G23=$A$5,$B$5*METLTask5[[#This Row],[CDR''s Weight]],IF(G23=$A$6,$B$6*METLTask5[[#This Row],[CDR''s Weight]],IF(G23=$A$7,$B$7*METLTask5[[#This Row],[CDR''s Weight]]))))</f>
        <v/>
      </c>
      <c r="K23" s="25">
        <f>VLOOKUP(METLTask5[[#This Row],[Commander''s Assessment]],Table222[],2,FALSE)*(1-(($I$16:$I$25-1)*(100/MAX($I$16:$I$25)/100)))</f>
        <v>0.19999999999999996</v>
      </c>
      <c r="L23" s="26"/>
      <c r="M23" s="25"/>
      <c r="N23" s="25"/>
      <c r="O23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23" s="43"/>
    </row>
    <row r="24" spans="2:16" hidden="1" outlineLevel="1" x14ac:dyDescent="0.3">
      <c r="C24" s="8"/>
      <c r="D24" s="9"/>
      <c r="E24" s="27" t="s">
        <v>24</v>
      </c>
      <c r="F24" s="33"/>
      <c r="G24" s="20" t="s">
        <v>3</v>
      </c>
      <c r="H24" s="35" t="str">
        <f>IF(ISBLANK(METLTask5[[#This Row],[CDR''s Weight]]),"",VLOOKUP(METLTask5[[#This Row],[Commander''s Assessment]],Table222[],2,FALSE)*(1-(METLTask5[CDR''s Weight]-1)*(100/MAX(METLTask5[CDR''s Weight])/100)))</f>
        <v/>
      </c>
      <c r="I24" s="28">
        <v>10</v>
      </c>
      <c r="J24" s="24" t="str">
        <f>IF(ISNUMBER(SEARCH("→",METLTask5[[#This Row],[METL Task 5]])),"",IF(G24=$A$5,$B$5*METLTask5[[#This Row],[CDR''s Weight]],IF(G24=$A$6,$B$6*METLTask5[[#This Row],[CDR''s Weight]],IF(G24=$A$7,$B$7*METLTask5[[#This Row],[CDR''s Weight]]))))</f>
        <v/>
      </c>
      <c r="K24" s="25">
        <f>VLOOKUP(METLTask5[[#This Row],[Commander''s Assessment]],Table222[],2,FALSE)*(1-(($I$16:$I$25-1)*(100/MAX($I$16:$I$25)/100)))</f>
        <v>9.999999999999998E-4</v>
      </c>
      <c r="L24" s="26"/>
      <c r="M24" s="25"/>
      <c r="N24" s="25"/>
      <c r="O24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24" s="43"/>
    </row>
    <row r="25" spans="2:16" hidden="1" outlineLevel="1" x14ac:dyDescent="0.3">
      <c r="C25" s="8"/>
      <c r="D25" s="9"/>
      <c r="E25" s="27" t="s">
        <v>24</v>
      </c>
      <c r="F25" s="31"/>
      <c r="G25" s="20" t="s">
        <v>3</v>
      </c>
      <c r="H25" s="35" t="str">
        <f>IF(ISBLANK(METLTask5[[#This Row],[CDR''s Weight]]),"",VLOOKUP(METLTask5[[#This Row],[Commander''s Assessment]],Table222[],2,FALSE)*(1-(METLTask5[CDR''s Weight]-1)*(100/MAX(METLTask5[CDR''s Weight])/100)))</f>
        <v/>
      </c>
      <c r="I25" s="29">
        <v>1</v>
      </c>
      <c r="J25" s="24" t="str">
        <f>IF(ISNUMBER(SEARCH("→",METLTask5[[#This Row],[METL Task 5]])),"",IF(G25=$A$5,$B$5*METLTask5[[#This Row],[CDR''s Weight]],IF(G25=$A$6,$B$6*METLTask5[[#This Row],[CDR''s Weight]],IF(G25=$A$7,$B$7*METLTask5[[#This Row],[CDR''s Weight]]))))</f>
        <v/>
      </c>
      <c r="K25" s="25">
        <f>VLOOKUP(METLTask5[[#This Row],[Commander''s Assessment]],Table222[],2,FALSE)*(1-(($I$16:$I$25-1)*(100/MAX($I$16:$I$25)/100)))</f>
        <v>0.01</v>
      </c>
      <c r="L25" s="26"/>
      <c r="M25" s="21"/>
      <c r="N25" s="21"/>
      <c r="O25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25" s="43"/>
    </row>
    <row r="26" spans="2:16" collapsed="1" x14ac:dyDescent="0.3">
      <c r="E26" s="22" t="s">
        <v>16</v>
      </c>
      <c r="F26" s="20">
        <v>3</v>
      </c>
      <c r="G26" s="20" t="s">
        <v>2</v>
      </c>
      <c r="H26" s="35">
        <f>IF(ISBLANK(METLTask5[[#This Row],[CDR''s Weight]]),"",VLOOKUP(METLTask5[[#This Row],[Commander''s Assessment]],Table222[],2,FALSE)*(1-(METLTask5[CDR''s Weight]-1)*(100/MAX(METLTask5[CDR''s Weight])/100)))</f>
        <v>0.4</v>
      </c>
      <c r="I26" s="23"/>
      <c r="J26" s="24">
        <f>IF(ISNUMBER(SEARCH("→",METLTask5[[#This Row],[METL Task 5]])),"",IF(G26=$A$5,$B$5*METLTask5[[#This Row],[CDR''s Weight]],IF(G26=$A$6,$B$6*METLTask5[[#This Row],[CDR''s Weight]],IF(G26=$A$7,$B$7*METLTask5[[#This Row],[CDR''s Weight]]))))</f>
        <v>1.5</v>
      </c>
      <c r="K26" s="25" t="str">
        <f>IF(ISNUMBER(METLTask5[[#This Row],[Total]]),"",VLOOKUP(METLTask5[[#This Row],[Commander''s Assessment]],Table222[],2,FALSE)*(1-(($I$27:$I$36-1)*(100/MAX($I$27:$I$36)/100))))</f>
        <v/>
      </c>
      <c r="L26" s="26">
        <f>SUM(I27:I36)</f>
        <v>55</v>
      </c>
      <c r="M26" s="25">
        <f>SUM(K27:K36)*10</f>
        <v>37.61</v>
      </c>
      <c r="N26" s="25">
        <f>METLTask5[[#This Row],[New SB Total]]/METLTask5[[#This Row],[New SB Weight]]</f>
        <v>0.68381818181818177</v>
      </c>
      <c r="O26" s="2" t="str">
        <f>IF(ISBLANK(METLTask5[[#This Row],[calc]]),"",IF(METLTask5[[#This Row],[calc]]&gt;=0.66,$A$5,IF(AND(METLTask5[[#This Row],[calc]]&lt;0.66,METLTask5[[#This Row],[calc]]&gt;=0.33),$A$6,IF(METLTask5[[#This Row],[calc]]&lt;0.33,"U"))))</f>
        <v>T</v>
      </c>
      <c r="P26" s="43"/>
    </row>
    <row r="27" spans="2:16" hidden="1" outlineLevel="1" x14ac:dyDescent="0.3">
      <c r="E27" s="27" t="s">
        <v>33</v>
      </c>
      <c r="F27" s="33"/>
      <c r="G27" s="20" t="s">
        <v>2</v>
      </c>
      <c r="H27" s="35" t="str">
        <f>IF(ISBLANK(METLTask5[[#This Row],[CDR''s Weight]]),"",VLOOKUP(METLTask5[[#This Row],[Commander''s Assessment]],Table222[],2,FALSE)*(1-(METLTask5[CDR''s Weight]-1)*(100/MAX(METLTask5[CDR''s Weight])/100)))</f>
        <v/>
      </c>
      <c r="I27" s="28">
        <v>2</v>
      </c>
      <c r="J27" s="24" t="str">
        <f>IF(ISNUMBER(SEARCH("→",METLTask5[[#This Row],[METL Task 5]])),"",IF(G27=$A$5,$B$5*METLTask5[[#This Row],[CDR''s Weight]],IF(G27=$A$6,$B$6*METLTask5[[#This Row],[CDR''s Weight]],IF(G27=$A$7,$B$7*METLTask5[[#This Row],[CDR''s Weight]]))))</f>
        <v/>
      </c>
      <c r="K27" s="25">
        <f>VLOOKUP(METLTask5[[#This Row],[Commander''s Assessment]],Table222[],2,FALSE)*(1-(($I$27:$I$36-1)*(100/MAX($I$27:$I$36)/100)))</f>
        <v>0.45</v>
      </c>
      <c r="L27" s="26"/>
      <c r="M27" s="25"/>
      <c r="N27" s="25"/>
      <c r="O27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27" s="43"/>
    </row>
    <row r="28" spans="2:16" hidden="1" outlineLevel="1" x14ac:dyDescent="0.3">
      <c r="E28" s="27" t="s">
        <v>24</v>
      </c>
      <c r="F28" s="33"/>
      <c r="G28" s="20" t="s">
        <v>1</v>
      </c>
      <c r="H28" s="35" t="str">
        <f>IF(ISBLANK(METLTask5[[#This Row],[CDR''s Weight]]),"",VLOOKUP(METLTask5[[#This Row],[Commander''s Assessment]],Table222[],2,FALSE)*(1-(METLTask5[CDR''s Weight]-1)*(100/MAX(METLTask5[CDR''s Weight])/100)))</f>
        <v/>
      </c>
      <c r="I28" s="28">
        <v>3</v>
      </c>
      <c r="J28" s="24" t="str">
        <f>IF(ISNUMBER(SEARCH("→",METLTask5[[#This Row],[METL Task 5]])),"",IF(G28=$A$5,$B$5*METLTask5[[#This Row],[CDR''s Weight]],IF(G28=$A$6,$B$6*METLTask5[[#This Row],[CDR''s Weight]],IF(G28=$A$7,$B$7*METLTask5[[#This Row],[CDR''s Weight]]))))</f>
        <v/>
      </c>
      <c r="K28" s="25">
        <f>VLOOKUP(METLTask5[[#This Row],[Commander''s Assessment]],Table222[],2,FALSE)*(1-(($I$27:$I$36-1)*(100/MAX($I$27:$I$36)/100)))</f>
        <v>0.8</v>
      </c>
      <c r="L28" s="26"/>
      <c r="M28" s="25"/>
      <c r="N28" s="25"/>
      <c r="O28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28" s="43"/>
    </row>
    <row r="29" spans="2:16" hidden="1" outlineLevel="1" x14ac:dyDescent="0.3">
      <c r="E29" s="27" t="s">
        <v>24</v>
      </c>
      <c r="F29" s="31"/>
      <c r="G29" s="20" t="s">
        <v>1</v>
      </c>
      <c r="H29" s="35" t="str">
        <f>IF(ISBLANK(METLTask5[[#This Row],[CDR''s Weight]]),"",VLOOKUP(METLTask5[[#This Row],[Commander''s Assessment]],Table222[],2,FALSE)*(1-(METLTask5[CDR''s Weight]-1)*(100/MAX(METLTask5[CDR''s Weight])/100)))</f>
        <v/>
      </c>
      <c r="I29" s="28">
        <v>4</v>
      </c>
      <c r="J29" s="24" t="str">
        <f>IF(ISNUMBER(SEARCH("→",METLTask5[[#This Row],[METL Task 5]])),"",IF(G29=$A$5,$B$5*METLTask5[[#This Row],[CDR''s Weight]],IF(G29=$A$6,$B$6*METLTask5[[#This Row],[CDR''s Weight]],IF(G29=$A$7,$B$7*METLTask5[[#This Row],[CDR''s Weight]]))))</f>
        <v/>
      </c>
      <c r="K29" s="25">
        <f>VLOOKUP(METLTask5[[#This Row],[Commander''s Assessment]],Table222[],2,FALSE)*(1-(($I$27:$I$36-1)*(100/MAX($I$27:$I$36)/100)))</f>
        <v>0.7</v>
      </c>
      <c r="L29" s="26"/>
      <c r="M29" s="25"/>
      <c r="N29" s="25"/>
      <c r="O29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29" s="43"/>
    </row>
    <row r="30" spans="2:16" hidden="1" outlineLevel="1" x14ac:dyDescent="0.3">
      <c r="E30" s="27" t="s">
        <v>24</v>
      </c>
      <c r="F30" s="33"/>
      <c r="G30" s="20" t="s">
        <v>1</v>
      </c>
      <c r="H30" s="35" t="str">
        <f>IF(ISBLANK(METLTask5[[#This Row],[CDR''s Weight]]),"",VLOOKUP(METLTask5[[#This Row],[Commander''s Assessment]],Table222[],2,FALSE)*(1-(METLTask5[CDR''s Weight]-1)*(100/MAX(METLTask5[CDR''s Weight])/100)))</f>
        <v/>
      </c>
      <c r="I30" s="28">
        <v>5</v>
      </c>
      <c r="J30" s="24" t="str">
        <f>IF(ISNUMBER(SEARCH("→",METLTask5[[#This Row],[METL Task 5]])),"",IF(G30=$A$5,$B$5*METLTask5[[#This Row],[CDR''s Weight]],IF(G30=$A$6,$B$6*METLTask5[[#This Row],[CDR''s Weight]],IF(G30=$A$7,$B$7*METLTask5[[#This Row],[CDR''s Weight]]))))</f>
        <v/>
      </c>
      <c r="K30" s="25">
        <f>VLOOKUP(METLTask5[[#This Row],[Commander''s Assessment]],Table222[],2,FALSE)*(1-(($I$27:$I$36-1)*(100/MAX($I$27:$I$36)/100)))</f>
        <v>0.6</v>
      </c>
      <c r="L30" s="26"/>
      <c r="M30" s="25"/>
      <c r="N30" s="25"/>
      <c r="O30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30" s="43"/>
    </row>
    <row r="31" spans="2:16" hidden="1" outlineLevel="1" x14ac:dyDescent="0.3">
      <c r="E31" s="27" t="s">
        <v>24</v>
      </c>
      <c r="F31" s="33"/>
      <c r="G31" s="20" t="s">
        <v>1</v>
      </c>
      <c r="H31" s="35" t="str">
        <f>IF(ISBLANK(METLTask5[[#This Row],[CDR''s Weight]]),"",VLOOKUP(METLTask5[[#This Row],[Commander''s Assessment]],Table222[],2,FALSE)*(1-(METLTask5[CDR''s Weight]-1)*(100/MAX(METLTask5[CDR''s Weight])/100)))</f>
        <v/>
      </c>
      <c r="I31" s="28">
        <v>6</v>
      </c>
      <c r="J31" s="24" t="str">
        <f>IF(ISNUMBER(SEARCH("→",METLTask5[[#This Row],[METL Task 5]])),"",IF(G31=$A$5,$B$5*METLTask5[[#This Row],[CDR''s Weight]],IF(G31=$A$6,$B$6*METLTask5[[#This Row],[CDR''s Weight]],IF(G31=$A$7,$B$7*METLTask5[[#This Row],[CDR''s Weight]]))))</f>
        <v/>
      </c>
      <c r="K31" s="25">
        <f>VLOOKUP(METLTask5[[#This Row],[Commander''s Assessment]],Table222[],2,FALSE)*(1-(($I$27:$I$36-1)*(100/MAX($I$27:$I$36)/100)))</f>
        <v>0.5</v>
      </c>
      <c r="L31" s="26"/>
      <c r="M31" s="25"/>
      <c r="N31" s="25"/>
      <c r="O31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31" s="43"/>
    </row>
    <row r="32" spans="2:16" hidden="1" outlineLevel="1" x14ac:dyDescent="0.3">
      <c r="E32" s="27" t="s">
        <v>24</v>
      </c>
      <c r="F32" s="33"/>
      <c r="G32" s="20" t="s">
        <v>2</v>
      </c>
      <c r="H32" s="35" t="str">
        <f>IF(ISBLANK(METLTask5[[#This Row],[CDR''s Weight]]),"",VLOOKUP(METLTask5[[#This Row],[Commander''s Assessment]],Table222[],2,FALSE)*(1-(METLTask5[CDR''s Weight]-1)*(100/MAX(METLTask5[CDR''s Weight])/100)))</f>
        <v/>
      </c>
      <c r="I32" s="28">
        <v>7</v>
      </c>
      <c r="J32" s="24" t="str">
        <f>IF(ISNUMBER(SEARCH("→",METLTask5[[#This Row],[METL Task 5]])),"",IF(G32=$A$5,$B$5*METLTask5[[#This Row],[CDR''s Weight]],IF(G32=$A$6,$B$6*METLTask5[[#This Row],[CDR''s Weight]],IF(G32=$A$7,$B$7*METLTask5[[#This Row],[CDR''s Weight]]))))</f>
        <v/>
      </c>
      <c r="K32" s="25">
        <f>VLOOKUP(METLTask5[[#This Row],[Commander''s Assessment]],Table222[],2,FALSE)*(1-(($I$27:$I$36-1)*(100/MAX($I$27:$I$36)/100)))</f>
        <v>0.19999999999999996</v>
      </c>
      <c r="L32" s="26"/>
      <c r="M32" s="25"/>
      <c r="N32" s="25"/>
      <c r="O32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32" s="43"/>
    </row>
    <row r="33" spans="5:16" hidden="1" outlineLevel="1" x14ac:dyDescent="0.3">
      <c r="E33" s="27" t="s">
        <v>24</v>
      </c>
      <c r="F33" s="33"/>
      <c r="G33" s="20" t="s">
        <v>1</v>
      </c>
      <c r="H33" s="35" t="str">
        <f>IF(ISBLANK(METLTask5[[#This Row],[CDR''s Weight]]),"",VLOOKUP(METLTask5[[#This Row],[Commander''s Assessment]],Table222[],2,FALSE)*(1-(METLTask5[CDR''s Weight]-1)*(100/MAX(METLTask5[CDR''s Weight])/100)))</f>
        <v/>
      </c>
      <c r="I33" s="28">
        <v>8</v>
      </c>
      <c r="J33" s="24" t="str">
        <f>IF(ISNUMBER(SEARCH("→",METLTask5[[#This Row],[METL Task 5]])),"",IF(G33=$A$5,$B$5*METLTask5[[#This Row],[CDR''s Weight]],IF(G33=$A$6,$B$6*METLTask5[[#This Row],[CDR''s Weight]],IF(G33=$A$7,$B$7*METLTask5[[#This Row],[CDR''s Weight]]))))</f>
        <v/>
      </c>
      <c r="K33" s="25">
        <f>VLOOKUP(METLTask5[[#This Row],[Commander''s Assessment]],Table222[],2,FALSE)*(1-(($I$27:$I$36-1)*(100/MAX($I$27:$I$36)/100)))</f>
        <v>0.29999999999999993</v>
      </c>
      <c r="L33" s="26"/>
      <c r="M33" s="25"/>
      <c r="N33" s="25"/>
      <c r="O33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33" s="43"/>
    </row>
    <row r="34" spans="5:16" hidden="1" outlineLevel="1" x14ac:dyDescent="0.3">
      <c r="E34" s="27" t="s">
        <v>24</v>
      </c>
      <c r="F34" s="33"/>
      <c r="G34" s="20" t="s">
        <v>1</v>
      </c>
      <c r="H34" s="35" t="str">
        <f>IF(ISBLANK(METLTask5[[#This Row],[CDR''s Weight]]),"",VLOOKUP(METLTask5[[#This Row],[Commander''s Assessment]],Table222[],2,FALSE)*(1-(METLTask5[CDR''s Weight]-1)*(100/MAX(METLTask5[CDR''s Weight])/100)))</f>
        <v/>
      </c>
      <c r="I34" s="28">
        <v>9</v>
      </c>
      <c r="J34" s="24" t="str">
        <f>IF(ISNUMBER(SEARCH("→",METLTask5[[#This Row],[METL Task 5]])),"",IF(G34=$A$5,$B$5*METLTask5[[#This Row],[CDR''s Weight]],IF(G34=$A$6,$B$6*METLTask5[[#This Row],[CDR''s Weight]],IF(G34=$A$7,$B$7*METLTask5[[#This Row],[CDR''s Weight]]))))</f>
        <v/>
      </c>
      <c r="K34" s="25">
        <f>VLOOKUP(METLTask5[[#This Row],[Commander''s Assessment]],Table222[],2,FALSE)*(1-(($I$27:$I$36-1)*(100/MAX($I$27:$I$36)/100)))</f>
        <v>0.19999999999999996</v>
      </c>
      <c r="L34" s="26"/>
      <c r="M34" s="25"/>
      <c r="N34" s="25"/>
      <c r="O34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34" s="43"/>
    </row>
    <row r="35" spans="5:16" hidden="1" outlineLevel="1" x14ac:dyDescent="0.3">
      <c r="E35" s="27" t="s">
        <v>24</v>
      </c>
      <c r="F35" s="33"/>
      <c r="G35" s="20" t="s">
        <v>3</v>
      </c>
      <c r="H35" s="35" t="str">
        <f>IF(ISBLANK(METLTask5[[#This Row],[CDR''s Weight]]),"",VLOOKUP(METLTask5[[#This Row],[Commander''s Assessment]],Table222[],2,FALSE)*(1-(METLTask5[CDR''s Weight]-1)*(100/MAX(METLTask5[CDR''s Weight])/100)))</f>
        <v/>
      </c>
      <c r="I35" s="28">
        <v>10</v>
      </c>
      <c r="J35" s="24" t="str">
        <f>IF(ISNUMBER(SEARCH("→",METLTask5[[#This Row],[METL Task 5]])),"",IF(G35=$A$5,$B$5*METLTask5[[#This Row],[CDR''s Weight]],IF(G35=$A$6,$B$6*METLTask5[[#This Row],[CDR''s Weight]],IF(G35=$A$7,$B$7*METLTask5[[#This Row],[CDR''s Weight]]))))</f>
        <v/>
      </c>
      <c r="K35" s="25">
        <f>VLOOKUP(METLTask5[[#This Row],[Commander''s Assessment]],Table222[],2,FALSE)*(1-(($I$27:$I$36-1)*(100/MAX($I$27:$I$36)/100)))</f>
        <v>9.999999999999998E-4</v>
      </c>
      <c r="L35" s="26"/>
      <c r="M35" s="25"/>
      <c r="N35" s="25"/>
      <c r="O35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35" s="43"/>
    </row>
    <row r="36" spans="5:16" hidden="1" outlineLevel="1" x14ac:dyDescent="0.3">
      <c r="E36" s="27" t="s">
        <v>24</v>
      </c>
      <c r="F36" s="31"/>
      <c r="G36" s="20" t="s">
        <v>3</v>
      </c>
      <c r="H36" s="35" t="str">
        <f>IF(ISBLANK(METLTask5[[#This Row],[CDR''s Weight]]),"",VLOOKUP(METLTask5[[#This Row],[Commander''s Assessment]],Table222[],2,FALSE)*(1-(METLTask5[CDR''s Weight]-1)*(100/MAX(METLTask5[CDR''s Weight])/100)))</f>
        <v/>
      </c>
      <c r="I36" s="29">
        <v>1</v>
      </c>
      <c r="J36" s="24" t="str">
        <f>IF(ISNUMBER(SEARCH("→",METLTask5[[#This Row],[METL Task 5]])),"",IF(G36=$A$5,$B$5*METLTask5[[#This Row],[CDR''s Weight]],IF(G36=$A$6,$B$6*METLTask5[[#This Row],[CDR''s Weight]],IF(G36=$A$7,$B$7*METLTask5[[#This Row],[CDR''s Weight]]))))</f>
        <v/>
      </c>
      <c r="K36" s="25">
        <f>VLOOKUP(METLTask5[[#This Row],[Commander''s Assessment]],Table222[],2,FALSE)*(1-(($I$27:$I$36-1)*(100/MAX($I$27:$I$36)/100)))</f>
        <v>0.01</v>
      </c>
      <c r="L36" s="26"/>
      <c r="M36" s="21"/>
      <c r="N36" s="21"/>
      <c r="O36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36" s="43"/>
    </row>
    <row r="37" spans="5:16" collapsed="1" x14ac:dyDescent="0.3">
      <c r="E37" s="22" t="s">
        <v>16</v>
      </c>
      <c r="F37" s="20">
        <v>4</v>
      </c>
      <c r="G37" s="20" t="s">
        <v>3</v>
      </c>
      <c r="H37" s="35">
        <f>IF(ISBLANK(METLTask5[[#This Row],[CDR''s Weight]]),"",VLOOKUP(METLTask5[[#This Row],[Commander''s Assessment]],Table222[],2,FALSE)*(1-(METLTask5[CDR''s Weight]-1)*(100/MAX(METLTask5[CDR''s Weight])/100)))</f>
        <v>6.9999999999999993E-3</v>
      </c>
      <c r="I37" s="23"/>
      <c r="J37" s="24">
        <f>IF(ISNUMBER(SEARCH("→",METLTask5[[#This Row],[METL Task 5]])),"",IF(G37=$A$5,$B$5*METLTask5[[#This Row],[CDR''s Weight]],IF(G37=$A$6,$B$6*METLTask5[[#This Row],[CDR''s Weight]],IF(G37=$A$7,$B$7*METLTask5[[#This Row],[CDR''s Weight]]))))</f>
        <v>0.04</v>
      </c>
      <c r="K37" s="25" t="str">
        <f>IF(ISNUMBER(METLTask5[[#This Row],[Total]]),"",VLOOKUP(METLTask5[[#This Row],[Commander''s Assessment]],Table222[],2,FALSE)*(1-(($I$38:$I$47-1)*(100/MAX($I$38:$I$47)/100))))</f>
        <v/>
      </c>
      <c r="L37" s="26">
        <f>SUM(I38:I47)</f>
        <v>55</v>
      </c>
      <c r="M37" s="25">
        <f>SUM(K38:K47)*10</f>
        <v>37.61</v>
      </c>
      <c r="N37" s="25">
        <f>METLTask5[[#This Row],[New SB Total]]/METLTask5[[#This Row],[New SB Weight]]</f>
        <v>0.68381818181818177</v>
      </c>
      <c r="O37" s="2" t="str">
        <f>IF(ISBLANK(METLTask5[[#This Row],[calc]]),"",IF(METLTask5[[#This Row],[calc]]&gt;=0.66,$A$5,IF(AND(METLTask5[[#This Row],[calc]]&lt;0.66,METLTask5[[#This Row],[calc]]&gt;=0.33),$A$6,IF(METLTask5[[#This Row],[calc]]&lt;0.33,"U"))))</f>
        <v>T</v>
      </c>
      <c r="P37" s="43"/>
    </row>
    <row r="38" spans="5:16" hidden="1" outlineLevel="1" x14ac:dyDescent="0.3">
      <c r="E38" s="27" t="s">
        <v>33</v>
      </c>
      <c r="F38" s="33"/>
      <c r="G38" s="20" t="s">
        <v>2</v>
      </c>
      <c r="H38" s="35" t="str">
        <f>IF(ISBLANK(METLTask5[[#This Row],[CDR''s Weight]]),"",VLOOKUP(METLTask5[[#This Row],[Commander''s Assessment]],Table222[],2,FALSE)*(1-(METLTask5[CDR''s Weight]-1)*(100/MAX(METLTask5[CDR''s Weight])/100)))</f>
        <v/>
      </c>
      <c r="I38" s="28">
        <v>2</v>
      </c>
      <c r="J38" s="24" t="str">
        <f>IF(ISNUMBER(SEARCH("→",METLTask5[[#This Row],[METL Task 5]])),"",IF(G38=$A$5,$B$5*METLTask5[[#This Row],[CDR''s Weight]],IF(G38=$A$6,$B$6*METLTask5[[#This Row],[CDR''s Weight]],IF(G38=$A$7,$B$7*METLTask5[[#This Row],[CDR''s Weight]]))))</f>
        <v/>
      </c>
      <c r="K38" s="25">
        <f>VLOOKUP(METLTask5[[#This Row],[Commander''s Assessment]],Table222[],2,FALSE)*(1-(($I$38:$I$47-1)*(100/MAX($I$38:$I$47)/100)))</f>
        <v>0.45</v>
      </c>
      <c r="L38" s="26"/>
      <c r="M38" s="25"/>
      <c r="N38" s="25"/>
      <c r="O38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38" s="43"/>
    </row>
    <row r="39" spans="5:16" hidden="1" outlineLevel="1" x14ac:dyDescent="0.3">
      <c r="E39" s="27" t="s">
        <v>24</v>
      </c>
      <c r="F39" s="33"/>
      <c r="G39" s="20" t="s">
        <v>1</v>
      </c>
      <c r="H39" s="35" t="str">
        <f>IF(ISBLANK(METLTask5[[#This Row],[CDR''s Weight]]),"",VLOOKUP(METLTask5[[#This Row],[Commander''s Assessment]],Table222[],2,FALSE)*(1-(METLTask5[CDR''s Weight]-1)*(100/MAX(METLTask5[CDR''s Weight])/100)))</f>
        <v/>
      </c>
      <c r="I39" s="28">
        <v>3</v>
      </c>
      <c r="J39" s="24" t="str">
        <f>IF(ISNUMBER(SEARCH("→",METLTask5[[#This Row],[METL Task 5]])),"",IF(G39=$A$5,$B$5*METLTask5[[#This Row],[CDR''s Weight]],IF(G39=$A$6,$B$6*METLTask5[[#This Row],[CDR''s Weight]],IF(G39=$A$7,$B$7*METLTask5[[#This Row],[CDR''s Weight]]))))</f>
        <v/>
      </c>
      <c r="K39" s="25">
        <f>VLOOKUP(METLTask5[[#This Row],[Commander''s Assessment]],Table222[],2,FALSE)*(1-(($I$38:$I$47-1)*(100/MAX($I$38:$I$47)/100)))</f>
        <v>0.8</v>
      </c>
      <c r="L39" s="26"/>
      <c r="M39" s="25"/>
      <c r="N39" s="25"/>
      <c r="O39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39" s="43"/>
    </row>
    <row r="40" spans="5:16" hidden="1" outlineLevel="1" x14ac:dyDescent="0.3">
      <c r="E40" s="27" t="s">
        <v>24</v>
      </c>
      <c r="F40" s="31"/>
      <c r="G40" s="20" t="s">
        <v>1</v>
      </c>
      <c r="H40" s="35" t="str">
        <f>IF(ISBLANK(METLTask5[[#This Row],[CDR''s Weight]]),"",VLOOKUP(METLTask5[[#This Row],[Commander''s Assessment]],Table222[],2,FALSE)*(1-(METLTask5[CDR''s Weight]-1)*(100/MAX(METLTask5[CDR''s Weight])/100)))</f>
        <v/>
      </c>
      <c r="I40" s="28">
        <v>4</v>
      </c>
      <c r="J40" s="24" t="str">
        <f>IF(ISNUMBER(SEARCH("→",METLTask5[[#This Row],[METL Task 5]])),"",IF(G40=$A$5,$B$5*METLTask5[[#This Row],[CDR''s Weight]],IF(G40=$A$6,$B$6*METLTask5[[#This Row],[CDR''s Weight]],IF(G40=$A$7,$B$7*METLTask5[[#This Row],[CDR''s Weight]]))))</f>
        <v/>
      </c>
      <c r="K40" s="25">
        <f>VLOOKUP(METLTask5[[#This Row],[Commander''s Assessment]],Table222[],2,FALSE)*(1-(($I$38:$I$47-1)*(100/MAX($I$38:$I$47)/100)))</f>
        <v>0.7</v>
      </c>
      <c r="L40" s="26"/>
      <c r="M40" s="25"/>
      <c r="N40" s="25"/>
      <c r="O40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40" s="43"/>
    </row>
    <row r="41" spans="5:16" hidden="1" outlineLevel="1" x14ac:dyDescent="0.3">
      <c r="E41" s="27" t="s">
        <v>24</v>
      </c>
      <c r="F41" s="33"/>
      <c r="G41" s="20" t="s">
        <v>1</v>
      </c>
      <c r="H41" s="35" t="str">
        <f>IF(ISBLANK(METLTask5[[#This Row],[CDR''s Weight]]),"",VLOOKUP(METLTask5[[#This Row],[Commander''s Assessment]],Table222[],2,FALSE)*(1-(METLTask5[CDR''s Weight]-1)*(100/MAX(METLTask5[CDR''s Weight])/100)))</f>
        <v/>
      </c>
      <c r="I41" s="28">
        <v>5</v>
      </c>
      <c r="J41" s="24" t="str">
        <f>IF(ISNUMBER(SEARCH("→",METLTask5[[#This Row],[METL Task 5]])),"",IF(G41=$A$5,$B$5*METLTask5[[#This Row],[CDR''s Weight]],IF(G41=$A$6,$B$6*METLTask5[[#This Row],[CDR''s Weight]],IF(G41=$A$7,$B$7*METLTask5[[#This Row],[CDR''s Weight]]))))</f>
        <v/>
      </c>
      <c r="K41" s="25">
        <f>VLOOKUP(METLTask5[[#This Row],[Commander''s Assessment]],Table222[],2,FALSE)*(1-(($I$38:$I$47-1)*(100/MAX($I$38:$I$47)/100)))</f>
        <v>0.6</v>
      </c>
      <c r="L41" s="26"/>
      <c r="M41" s="25"/>
      <c r="N41" s="25"/>
      <c r="O41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41" s="43"/>
    </row>
    <row r="42" spans="5:16" hidden="1" outlineLevel="1" x14ac:dyDescent="0.3">
      <c r="E42" s="27" t="s">
        <v>24</v>
      </c>
      <c r="F42" s="33"/>
      <c r="G42" s="20" t="s">
        <v>1</v>
      </c>
      <c r="H42" s="35" t="str">
        <f>IF(ISBLANK(METLTask5[[#This Row],[CDR''s Weight]]),"",VLOOKUP(METLTask5[[#This Row],[Commander''s Assessment]],Table222[],2,FALSE)*(1-(METLTask5[CDR''s Weight]-1)*(100/MAX(METLTask5[CDR''s Weight])/100)))</f>
        <v/>
      </c>
      <c r="I42" s="28">
        <v>6</v>
      </c>
      <c r="J42" s="24" t="str">
        <f>IF(ISNUMBER(SEARCH("→",METLTask5[[#This Row],[METL Task 5]])),"",IF(G42=$A$5,$B$5*METLTask5[[#This Row],[CDR''s Weight]],IF(G42=$A$6,$B$6*METLTask5[[#This Row],[CDR''s Weight]],IF(G42=$A$7,$B$7*METLTask5[[#This Row],[CDR''s Weight]]))))</f>
        <v/>
      </c>
      <c r="K42" s="25">
        <f>VLOOKUP(METLTask5[[#This Row],[Commander''s Assessment]],Table222[],2,FALSE)*(1-(($I$38:$I$47-1)*(100/MAX($I$38:$I$47)/100)))</f>
        <v>0.5</v>
      </c>
      <c r="L42" s="26"/>
      <c r="M42" s="25"/>
      <c r="N42" s="25"/>
      <c r="O42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42" s="43"/>
    </row>
    <row r="43" spans="5:16" hidden="1" outlineLevel="1" x14ac:dyDescent="0.3">
      <c r="E43" s="27" t="s">
        <v>24</v>
      </c>
      <c r="F43" s="33"/>
      <c r="G43" s="20" t="s">
        <v>2</v>
      </c>
      <c r="H43" s="35" t="str">
        <f>IF(ISBLANK(METLTask5[[#This Row],[CDR''s Weight]]),"",VLOOKUP(METLTask5[[#This Row],[Commander''s Assessment]],Table222[],2,FALSE)*(1-(METLTask5[CDR''s Weight]-1)*(100/MAX(METLTask5[CDR''s Weight])/100)))</f>
        <v/>
      </c>
      <c r="I43" s="28">
        <v>7</v>
      </c>
      <c r="J43" s="24" t="str">
        <f>IF(ISNUMBER(SEARCH("→",METLTask5[[#This Row],[METL Task 5]])),"",IF(G43=$A$5,$B$5*METLTask5[[#This Row],[CDR''s Weight]],IF(G43=$A$6,$B$6*METLTask5[[#This Row],[CDR''s Weight]],IF(G43=$A$7,$B$7*METLTask5[[#This Row],[CDR''s Weight]]))))</f>
        <v/>
      </c>
      <c r="K43" s="25">
        <f>VLOOKUP(METLTask5[[#This Row],[Commander''s Assessment]],Table222[],2,FALSE)*(1-(($I$38:$I$47-1)*(100/MAX($I$38:$I$47)/100)))</f>
        <v>0.19999999999999996</v>
      </c>
      <c r="L43" s="26"/>
      <c r="M43" s="25"/>
      <c r="N43" s="25"/>
      <c r="O43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43" s="43"/>
    </row>
    <row r="44" spans="5:16" hidden="1" outlineLevel="1" x14ac:dyDescent="0.3">
      <c r="E44" s="27" t="s">
        <v>24</v>
      </c>
      <c r="F44" s="33"/>
      <c r="G44" s="20" t="s">
        <v>1</v>
      </c>
      <c r="H44" s="35" t="str">
        <f>IF(ISBLANK(METLTask5[[#This Row],[CDR''s Weight]]),"",VLOOKUP(METLTask5[[#This Row],[Commander''s Assessment]],Table222[],2,FALSE)*(1-(METLTask5[CDR''s Weight]-1)*(100/MAX(METLTask5[CDR''s Weight])/100)))</f>
        <v/>
      </c>
      <c r="I44" s="28">
        <v>8</v>
      </c>
      <c r="J44" s="24" t="str">
        <f>IF(ISNUMBER(SEARCH("→",METLTask5[[#This Row],[METL Task 5]])),"",IF(G44=$A$5,$B$5*METLTask5[[#This Row],[CDR''s Weight]],IF(G44=$A$6,$B$6*METLTask5[[#This Row],[CDR''s Weight]],IF(G44=$A$7,$B$7*METLTask5[[#This Row],[CDR''s Weight]]))))</f>
        <v/>
      </c>
      <c r="K44" s="25">
        <f>VLOOKUP(METLTask5[[#This Row],[Commander''s Assessment]],Table222[],2,FALSE)*(1-(($I$38:$I$47-1)*(100/MAX($I$38:$I$47)/100)))</f>
        <v>0.29999999999999993</v>
      </c>
      <c r="L44" s="26"/>
      <c r="M44" s="25"/>
      <c r="N44" s="25"/>
      <c r="O44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44" s="43"/>
    </row>
    <row r="45" spans="5:16" hidden="1" outlineLevel="1" x14ac:dyDescent="0.3">
      <c r="E45" s="27" t="s">
        <v>24</v>
      </c>
      <c r="F45" s="33"/>
      <c r="G45" s="20" t="s">
        <v>1</v>
      </c>
      <c r="H45" s="35" t="str">
        <f>IF(ISBLANK(METLTask5[[#This Row],[CDR''s Weight]]),"",VLOOKUP(METLTask5[[#This Row],[Commander''s Assessment]],Table222[],2,FALSE)*(1-(METLTask5[CDR''s Weight]-1)*(100/MAX(METLTask5[CDR''s Weight])/100)))</f>
        <v/>
      </c>
      <c r="I45" s="28">
        <v>9</v>
      </c>
      <c r="J45" s="24" t="str">
        <f>IF(ISNUMBER(SEARCH("→",METLTask5[[#This Row],[METL Task 5]])),"",IF(G45=$A$5,$B$5*METLTask5[[#This Row],[CDR''s Weight]],IF(G45=$A$6,$B$6*METLTask5[[#This Row],[CDR''s Weight]],IF(G45=$A$7,$B$7*METLTask5[[#This Row],[CDR''s Weight]]))))</f>
        <v/>
      </c>
      <c r="K45" s="25">
        <f>VLOOKUP(METLTask5[[#This Row],[Commander''s Assessment]],Table222[],2,FALSE)*(1-(($I$38:$I$47-1)*(100/MAX($I$38:$I$47)/100)))</f>
        <v>0.19999999999999996</v>
      </c>
      <c r="L45" s="26"/>
      <c r="M45" s="25"/>
      <c r="N45" s="25"/>
      <c r="O45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45" s="43"/>
    </row>
    <row r="46" spans="5:16" hidden="1" outlineLevel="1" x14ac:dyDescent="0.3">
      <c r="E46" s="27" t="s">
        <v>24</v>
      </c>
      <c r="F46" s="33"/>
      <c r="G46" s="20" t="s">
        <v>3</v>
      </c>
      <c r="H46" s="35" t="str">
        <f>IF(ISBLANK(METLTask5[[#This Row],[CDR''s Weight]]),"",VLOOKUP(METLTask5[[#This Row],[Commander''s Assessment]],Table222[],2,FALSE)*(1-(METLTask5[CDR''s Weight]-1)*(100/MAX(METLTask5[CDR''s Weight])/100)))</f>
        <v/>
      </c>
      <c r="I46" s="28">
        <v>10</v>
      </c>
      <c r="J46" s="24" t="str">
        <f>IF(ISNUMBER(SEARCH("→",METLTask5[[#This Row],[METL Task 5]])),"",IF(G46=$A$5,$B$5*METLTask5[[#This Row],[CDR''s Weight]],IF(G46=$A$6,$B$6*METLTask5[[#This Row],[CDR''s Weight]],IF(G46=$A$7,$B$7*METLTask5[[#This Row],[CDR''s Weight]]))))</f>
        <v/>
      </c>
      <c r="K46" s="25">
        <f>VLOOKUP(METLTask5[[#This Row],[Commander''s Assessment]],Table222[],2,FALSE)*(1-(($I$38:$I$47-1)*(100/MAX($I$38:$I$47)/100)))</f>
        <v>9.999999999999998E-4</v>
      </c>
      <c r="L46" s="26"/>
      <c r="M46" s="25"/>
      <c r="N46" s="25"/>
      <c r="O46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46" s="43"/>
    </row>
    <row r="47" spans="5:16" hidden="1" outlineLevel="1" x14ac:dyDescent="0.3">
      <c r="E47" s="27" t="s">
        <v>24</v>
      </c>
      <c r="F47" s="31"/>
      <c r="G47" s="20" t="s">
        <v>3</v>
      </c>
      <c r="H47" s="35" t="str">
        <f>IF(ISBLANK(METLTask5[[#This Row],[CDR''s Weight]]),"",VLOOKUP(METLTask5[[#This Row],[Commander''s Assessment]],Table222[],2,FALSE)*(1-(METLTask5[CDR''s Weight]-1)*(100/MAX(METLTask5[CDR''s Weight])/100)))</f>
        <v/>
      </c>
      <c r="I47" s="29">
        <v>1</v>
      </c>
      <c r="J47" s="24" t="str">
        <f>IF(ISNUMBER(SEARCH("→",METLTask5[[#This Row],[METL Task 5]])),"",IF(G47=$A$5,$B$5*METLTask5[[#This Row],[CDR''s Weight]],IF(G47=$A$6,$B$6*METLTask5[[#This Row],[CDR''s Weight]],IF(G47=$A$7,$B$7*METLTask5[[#This Row],[CDR''s Weight]]))))</f>
        <v/>
      </c>
      <c r="K47" s="25">
        <f>VLOOKUP(METLTask5[[#This Row],[Commander''s Assessment]],Table222[],2,FALSE)*(1-(($I$38:$I$47-1)*(100/MAX($I$38:$I$47)/100)))</f>
        <v>0.01</v>
      </c>
      <c r="L47" s="26"/>
      <c r="M47" s="21"/>
      <c r="N47" s="21"/>
      <c r="O47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47" s="43"/>
    </row>
    <row r="48" spans="5:16" collapsed="1" x14ac:dyDescent="0.3">
      <c r="E48" s="22" t="s">
        <v>16</v>
      </c>
      <c r="F48" s="20">
        <v>5</v>
      </c>
      <c r="G48" s="20" t="s">
        <v>3</v>
      </c>
      <c r="H48" s="35">
        <f>IF(ISBLANK(METLTask5[[#This Row],[CDR''s Weight]]),"",VLOOKUP(METLTask5[[#This Row],[Commander''s Assessment]],Table222[],2,FALSE)*(1-(METLTask5[CDR''s Weight]-1)*(100/MAX(METLTask5[CDR''s Weight])/100)))</f>
        <v>6.0000000000000001E-3</v>
      </c>
      <c r="I48" s="23"/>
      <c r="J48" s="24">
        <f>IF(ISNUMBER(SEARCH("→",METLTask5[[#This Row],[METL Task 5]])),"",IF(G48=$A$5,$B$5*METLTask5[[#This Row],[CDR''s Weight]],IF(G48=$A$6,$B$6*METLTask5[[#This Row],[CDR''s Weight]],IF(G48=$A$7,$B$7*METLTask5[[#This Row],[CDR''s Weight]]))))</f>
        <v>0.05</v>
      </c>
      <c r="K48" s="25" t="str">
        <f>IF(ISNUMBER(METLTask5[[#This Row],[Total]]),"",VLOOKUP(METLTask5[[#This Row],[Commander''s Assessment]],Table222[],2,FALSE)*(1-(($I$49:$I$58-1)*(100/MAX($I$49:$I$58)/100))))</f>
        <v/>
      </c>
      <c r="L48" s="26">
        <f>SUM(I49:I58)</f>
        <v>55</v>
      </c>
      <c r="M48" s="25">
        <f>SUM(K49:K58)*10</f>
        <v>37.61</v>
      </c>
      <c r="N48" s="25">
        <f>METLTask5[[#This Row],[New SB Total]]/METLTask5[[#This Row],[New SB Weight]]</f>
        <v>0.68381818181818177</v>
      </c>
      <c r="O48" s="2" t="str">
        <f>IF(ISBLANK(METLTask5[[#This Row],[calc]]),"",IF(METLTask5[[#This Row],[calc]]&gt;=0.66,$A$5,IF(AND(METLTask5[[#This Row],[calc]]&lt;0.66,METLTask5[[#This Row],[calc]]&gt;=0.33),$A$6,IF(METLTask5[[#This Row],[calc]]&lt;0.33,"U"))))</f>
        <v>T</v>
      </c>
      <c r="P48" s="43"/>
    </row>
    <row r="49" spans="5:16" hidden="1" outlineLevel="1" x14ac:dyDescent="0.3">
      <c r="E49" s="27" t="s">
        <v>33</v>
      </c>
      <c r="F49" s="33"/>
      <c r="G49" s="20" t="s">
        <v>2</v>
      </c>
      <c r="H49" s="35" t="str">
        <f>IF(ISBLANK(METLTask5[[#This Row],[CDR''s Weight]]),"",VLOOKUP(METLTask5[[#This Row],[Commander''s Assessment]],Table222[],2,FALSE)*(1-(METLTask5[CDR''s Weight]-1)*(100/MAX(METLTask5[CDR''s Weight])/100)))</f>
        <v/>
      </c>
      <c r="I49" s="28">
        <v>2</v>
      </c>
      <c r="J49" s="24" t="str">
        <f>IF(ISNUMBER(SEARCH("→",METLTask5[[#This Row],[METL Task 5]])),"",IF(G49=$A$5,$B$5*METLTask5[[#This Row],[CDR''s Weight]],IF(G49=$A$6,$B$6*METLTask5[[#This Row],[CDR''s Weight]],IF(G49=$A$7,$B$7*METLTask5[[#This Row],[CDR''s Weight]]))))</f>
        <v/>
      </c>
      <c r="K49" s="25">
        <f>VLOOKUP(METLTask5[[#This Row],[Commander''s Assessment]],Table222[],2,FALSE)*(1-(($I$49:$I$58-1)*(100/MAX($I$49:$I$58)/100)))</f>
        <v>0.45</v>
      </c>
      <c r="L49" s="26"/>
      <c r="M49" s="25"/>
      <c r="N49" s="25"/>
      <c r="O49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49" s="43"/>
    </row>
    <row r="50" spans="5:16" hidden="1" outlineLevel="1" x14ac:dyDescent="0.3">
      <c r="E50" s="27" t="s">
        <v>24</v>
      </c>
      <c r="F50" s="33"/>
      <c r="G50" s="20" t="s">
        <v>1</v>
      </c>
      <c r="H50" s="35" t="str">
        <f>IF(ISBLANK(METLTask5[[#This Row],[CDR''s Weight]]),"",VLOOKUP(METLTask5[[#This Row],[Commander''s Assessment]],Table222[],2,FALSE)*(1-(METLTask5[CDR''s Weight]-1)*(100/MAX(METLTask5[CDR''s Weight])/100)))</f>
        <v/>
      </c>
      <c r="I50" s="28">
        <v>3</v>
      </c>
      <c r="J50" s="24" t="str">
        <f>IF(ISNUMBER(SEARCH("→",METLTask5[[#This Row],[METL Task 5]])),"",IF(G50=$A$5,$B$5*METLTask5[[#This Row],[CDR''s Weight]],IF(G50=$A$6,$B$6*METLTask5[[#This Row],[CDR''s Weight]],IF(G50=$A$7,$B$7*METLTask5[[#This Row],[CDR''s Weight]]))))</f>
        <v/>
      </c>
      <c r="K50" s="25">
        <f>VLOOKUP(METLTask5[[#This Row],[Commander''s Assessment]],Table222[],2,FALSE)*(1-(($I$49:$I$58-1)*(100/MAX($I$49:$I$58)/100)))</f>
        <v>0.8</v>
      </c>
      <c r="L50" s="26"/>
      <c r="M50" s="25"/>
      <c r="N50" s="25"/>
      <c r="O50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50" s="43"/>
    </row>
    <row r="51" spans="5:16" hidden="1" outlineLevel="1" x14ac:dyDescent="0.3">
      <c r="E51" s="27" t="s">
        <v>24</v>
      </c>
      <c r="F51" s="31"/>
      <c r="G51" s="20" t="s">
        <v>1</v>
      </c>
      <c r="H51" s="35" t="str">
        <f>IF(ISBLANK(METLTask5[[#This Row],[CDR''s Weight]]),"",VLOOKUP(METLTask5[[#This Row],[Commander''s Assessment]],Table222[],2,FALSE)*(1-(METLTask5[CDR''s Weight]-1)*(100/MAX(METLTask5[CDR''s Weight])/100)))</f>
        <v/>
      </c>
      <c r="I51" s="28">
        <v>4</v>
      </c>
      <c r="J51" s="24" t="str">
        <f>IF(ISNUMBER(SEARCH("→",METLTask5[[#This Row],[METL Task 5]])),"",IF(G51=$A$5,$B$5*METLTask5[[#This Row],[CDR''s Weight]],IF(G51=$A$6,$B$6*METLTask5[[#This Row],[CDR''s Weight]],IF(G51=$A$7,$B$7*METLTask5[[#This Row],[CDR''s Weight]]))))</f>
        <v/>
      </c>
      <c r="K51" s="25">
        <f>VLOOKUP(METLTask5[[#This Row],[Commander''s Assessment]],Table222[],2,FALSE)*(1-(($I$49:$I$58-1)*(100/MAX($I$49:$I$58)/100)))</f>
        <v>0.7</v>
      </c>
      <c r="L51" s="26"/>
      <c r="M51" s="25"/>
      <c r="N51" s="25"/>
      <c r="O51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51" s="43"/>
    </row>
    <row r="52" spans="5:16" hidden="1" outlineLevel="1" x14ac:dyDescent="0.3">
      <c r="E52" s="27" t="s">
        <v>24</v>
      </c>
      <c r="F52" s="33"/>
      <c r="G52" s="20" t="s">
        <v>1</v>
      </c>
      <c r="H52" s="35" t="str">
        <f>IF(ISBLANK(METLTask5[[#This Row],[CDR''s Weight]]),"",VLOOKUP(METLTask5[[#This Row],[Commander''s Assessment]],Table222[],2,FALSE)*(1-(METLTask5[CDR''s Weight]-1)*(100/MAX(METLTask5[CDR''s Weight])/100)))</f>
        <v/>
      </c>
      <c r="I52" s="28">
        <v>5</v>
      </c>
      <c r="J52" s="24" t="str">
        <f>IF(ISNUMBER(SEARCH("→",METLTask5[[#This Row],[METL Task 5]])),"",IF(G52=$A$5,$B$5*METLTask5[[#This Row],[CDR''s Weight]],IF(G52=$A$6,$B$6*METLTask5[[#This Row],[CDR''s Weight]],IF(G52=$A$7,$B$7*METLTask5[[#This Row],[CDR''s Weight]]))))</f>
        <v/>
      </c>
      <c r="K52" s="25">
        <f>VLOOKUP(METLTask5[[#This Row],[Commander''s Assessment]],Table222[],2,FALSE)*(1-(($I$49:$I$58-1)*(100/MAX($I$49:$I$58)/100)))</f>
        <v>0.6</v>
      </c>
      <c r="L52" s="26"/>
      <c r="M52" s="25"/>
      <c r="N52" s="25"/>
      <c r="O52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52" s="43"/>
    </row>
    <row r="53" spans="5:16" hidden="1" outlineLevel="1" x14ac:dyDescent="0.3">
      <c r="E53" s="27" t="s">
        <v>24</v>
      </c>
      <c r="F53" s="33"/>
      <c r="G53" s="20" t="s">
        <v>1</v>
      </c>
      <c r="H53" s="35" t="str">
        <f>IF(ISBLANK(METLTask5[[#This Row],[CDR''s Weight]]),"",VLOOKUP(METLTask5[[#This Row],[Commander''s Assessment]],Table222[],2,FALSE)*(1-(METLTask5[CDR''s Weight]-1)*(100/MAX(METLTask5[CDR''s Weight])/100)))</f>
        <v/>
      </c>
      <c r="I53" s="28">
        <v>6</v>
      </c>
      <c r="J53" s="24" t="str">
        <f>IF(ISNUMBER(SEARCH("→",METLTask5[[#This Row],[METL Task 5]])),"",IF(G53=$A$5,$B$5*METLTask5[[#This Row],[CDR''s Weight]],IF(G53=$A$6,$B$6*METLTask5[[#This Row],[CDR''s Weight]],IF(G53=$A$7,$B$7*METLTask5[[#This Row],[CDR''s Weight]]))))</f>
        <v/>
      </c>
      <c r="K53" s="25">
        <f>VLOOKUP(METLTask5[[#This Row],[Commander''s Assessment]],Table222[],2,FALSE)*(1-(($I$49:$I$58-1)*(100/MAX($I$49:$I$58)/100)))</f>
        <v>0.5</v>
      </c>
      <c r="L53" s="26"/>
      <c r="M53" s="25"/>
      <c r="N53" s="25"/>
      <c r="O53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53" s="43"/>
    </row>
    <row r="54" spans="5:16" hidden="1" outlineLevel="1" x14ac:dyDescent="0.3">
      <c r="E54" s="27" t="s">
        <v>24</v>
      </c>
      <c r="F54" s="33"/>
      <c r="G54" s="20" t="s">
        <v>2</v>
      </c>
      <c r="H54" s="35" t="str">
        <f>IF(ISBLANK(METLTask5[[#This Row],[CDR''s Weight]]),"",VLOOKUP(METLTask5[[#This Row],[Commander''s Assessment]],Table222[],2,FALSE)*(1-(METLTask5[CDR''s Weight]-1)*(100/MAX(METLTask5[CDR''s Weight])/100)))</f>
        <v/>
      </c>
      <c r="I54" s="28">
        <v>7</v>
      </c>
      <c r="J54" s="24" t="str">
        <f>IF(ISNUMBER(SEARCH("→",METLTask5[[#This Row],[METL Task 5]])),"",IF(G54=$A$5,$B$5*METLTask5[[#This Row],[CDR''s Weight]],IF(G54=$A$6,$B$6*METLTask5[[#This Row],[CDR''s Weight]],IF(G54=$A$7,$B$7*METLTask5[[#This Row],[CDR''s Weight]]))))</f>
        <v/>
      </c>
      <c r="K54" s="25">
        <f>VLOOKUP(METLTask5[[#This Row],[Commander''s Assessment]],Table222[],2,FALSE)*(1-(($I$49:$I$58-1)*(100/MAX($I$49:$I$58)/100)))</f>
        <v>0.19999999999999996</v>
      </c>
      <c r="L54" s="26"/>
      <c r="M54" s="25"/>
      <c r="N54" s="25"/>
      <c r="O54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54" s="43"/>
    </row>
    <row r="55" spans="5:16" hidden="1" outlineLevel="1" x14ac:dyDescent="0.3">
      <c r="E55" s="27" t="s">
        <v>24</v>
      </c>
      <c r="F55" s="33"/>
      <c r="G55" s="20" t="s">
        <v>1</v>
      </c>
      <c r="H55" s="35" t="str">
        <f>IF(ISBLANK(METLTask5[[#This Row],[CDR''s Weight]]),"",VLOOKUP(METLTask5[[#This Row],[Commander''s Assessment]],Table222[],2,FALSE)*(1-(METLTask5[CDR''s Weight]-1)*(100/MAX(METLTask5[CDR''s Weight])/100)))</f>
        <v/>
      </c>
      <c r="I55" s="28">
        <v>8</v>
      </c>
      <c r="J55" s="24" t="str">
        <f>IF(ISNUMBER(SEARCH("→",METLTask5[[#This Row],[METL Task 5]])),"",IF(G55=$A$5,$B$5*METLTask5[[#This Row],[CDR''s Weight]],IF(G55=$A$6,$B$6*METLTask5[[#This Row],[CDR''s Weight]],IF(G55=$A$7,$B$7*METLTask5[[#This Row],[CDR''s Weight]]))))</f>
        <v/>
      </c>
      <c r="K55" s="25">
        <f>VLOOKUP(METLTask5[[#This Row],[Commander''s Assessment]],Table222[],2,FALSE)*(1-(($I$49:$I$58-1)*(100/MAX($I$49:$I$58)/100)))</f>
        <v>0.29999999999999993</v>
      </c>
      <c r="L55" s="26"/>
      <c r="M55" s="25"/>
      <c r="N55" s="25"/>
      <c r="O55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55" s="43"/>
    </row>
    <row r="56" spans="5:16" hidden="1" outlineLevel="1" x14ac:dyDescent="0.3">
      <c r="E56" s="27" t="s">
        <v>24</v>
      </c>
      <c r="F56" s="33"/>
      <c r="G56" s="20" t="s">
        <v>1</v>
      </c>
      <c r="H56" s="35" t="str">
        <f>IF(ISBLANK(METLTask5[[#This Row],[CDR''s Weight]]),"",VLOOKUP(METLTask5[[#This Row],[Commander''s Assessment]],Table222[],2,FALSE)*(1-(METLTask5[CDR''s Weight]-1)*(100/MAX(METLTask5[CDR''s Weight])/100)))</f>
        <v/>
      </c>
      <c r="I56" s="28">
        <v>9</v>
      </c>
      <c r="J56" s="24" t="str">
        <f>IF(ISNUMBER(SEARCH("→",METLTask5[[#This Row],[METL Task 5]])),"",IF(G56=$A$5,$B$5*METLTask5[[#This Row],[CDR''s Weight]],IF(G56=$A$6,$B$6*METLTask5[[#This Row],[CDR''s Weight]],IF(G56=$A$7,$B$7*METLTask5[[#This Row],[CDR''s Weight]]))))</f>
        <v/>
      </c>
      <c r="K56" s="25">
        <f>VLOOKUP(METLTask5[[#This Row],[Commander''s Assessment]],Table222[],2,FALSE)*(1-(($I$49:$I$58-1)*(100/MAX($I$49:$I$58)/100)))</f>
        <v>0.19999999999999996</v>
      </c>
      <c r="L56" s="26"/>
      <c r="M56" s="25"/>
      <c r="N56" s="25"/>
      <c r="O56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56" s="43"/>
    </row>
    <row r="57" spans="5:16" hidden="1" outlineLevel="1" x14ac:dyDescent="0.3">
      <c r="E57" s="27" t="s">
        <v>24</v>
      </c>
      <c r="F57" s="33"/>
      <c r="G57" s="20" t="s">
        <v>3</v>
      </c>
      <c r="H57" s="35" t="str">
        <f>IF(ISBLANK(METLTask5[[#This Row],[CDR''s Weight]]),"",VLOOKUP(METLTask5[[#This Row],[Commander''s Assessment]],Table222[],2,FALSE)*(1-(METLTask5[CDR''s Weight]-1)*(100/MAX(METLTask5[CDR''s Weight])/100)))</f>
        <v/>
      </c>
      <c r="I57" s="28">
        <v>10</v>
      </c>
      <c r="J57" s="24" t="str">
        <f>IF(ISNUMBER(SEARCH("→",METLTask5[[#This Row],[METL Task 5]])),"",IF(G57=$A$5,$B$5*METLTask5[[#This Row],[CDR''s Weight]],IF(G57=$A$6,$B$6*METLTask5[[#This Row],[CDR''s Weight]],IF(G57=$A$7,$B$7*METLTask5[[#This Row],[CDR''s Weight]]))))</f>
        <v/>
      </c>
      <c r="K57" s="25">
        <f>VLOOKUP(METLTask5[[#This Row],[Commander''s Assessment]],Table222[],2,FALSE)*(1-(($I$49:$I$58-1)*(100/MAX($I$49:$I$58)/100)))</f>
        <v>9.999999999999998E-4</v>
      </c>
      <c r="L57" s="26"/>
      <c r="M57" s="25"/>
      <c r="N57" s="25"/>
      <c r="O57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57" s="43"/>
    </row>
    <row r="58" spans="5:16" hidden="1" outlineLevel="1" x14ac:dyDescent="0.3">
      <c r="E58" s="27" t="s">
        <v>24</v>
      </c>
      <c r="F58" s="31"/>
      <c r="G58" s="20" t="s">
        <v>3</v>
      </c>
      <c r="H58" s="35" t="str">
        <f>IF(ISBLANK(METLTask5[[#This Row],[CDR''s Weight]]),"",VLOOKUP(METLTask5[[#This Row],[Commander''s Assessment]],Table222[],2,FALSE)*(1-(METLTask5[CDR''s Weight]-1)*(100/MAX(METLTask5[CDR''s Weight])/100)))</f>
        <v/>
      </c>
      <c r="I58" s="29">
        <v>1</v>
      </c>
      <c r="J58" s="24" t="str">
        <f>IF(ISNUMBER(SEARCH("→",METLTask5[[#This Row],[METL Task 5]])),"",IF(G58=$A$5,$B$5*METLTask5[[#This Row],[CDR''s Weight]],IF(G58=$A$6,$B$6*METLTask5[[#This Row],[CDR''s Weight]],IF(G58=$A$7,$B$7*METLTask5[[#This Row],[CDR''s Weight]]))))</f>
        <v/>
      </c>
      <c r="K58" s="25">
        <f>VLOOKUP(METLTask5[[#This Row],[Commander''s Assessment]],Table222[],2,FALSE)*(1-(($I$49:$I$58-1)*(100/MAX($I$49:$I$58)/100)))</f>
        <v>0.01</v>
      </c>
      <c r="L58" s="26"/>
      <c r="M58" s="21"/>
      <c r="N58" s="21"/>
      <c r="O58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58" s="43"/>
    </row>
    <row r="59" spans="5:16" collapsed="1" x14ac:dyDescent="0.3">
      <c r="E59" s="22" t="s">
        <v>16</v>
      </c>
      <c r="F59" s="20">
        <v>6</v>
      </c>
      <c r="G59" s="20" t="s">
        <v>18</v>
      </c>
      <c r="H59" s="35">
        <f>IF(ISBLANK(METLTask5[[#This Row],[CDR''s Weight]]),"",VLOOKUP(METLTask5[[#This Row],[Commander''s Assessment]],Table222[],2,FALSE)*(1-(METLTask5[CDR''s Weight]-1)*(100/MAX(METLTask5[CDR''s Weight])/100)))</f>
        <v>0.5</v>
      </c>
      <c r="I59" s="23"/>
      <c r="J59" s="24">
        <f>IF(ISNUMBER(SEARCH("→",METLTask5[[#This Row],[METL Task 5]])),"",IF(G59=$A$5,$B$5*METLTask5[[#This Row],[CDR''s Weight]],IF(G59=$A$6,$B$6*METLTask5[[#This Row],[CDR''s Weight]],IF(G59=$A$7,$B$7*METLTask5[[#This Row],[CDR''s Weight]]))))</f>
        <v>6</v>
      </c>
      <c r="K59" s="25" t="str">
        <f>IF(ISNUMBER(METLTask5[[#This Row],[Total]]),"",VLOOKUP(METLTask5[[#This Row],[Commander''s Assessment]],Table222[],2,FALSE)*(1-(($I$60:$I$69-1)*(100/MAX($I$60:$I$69)/100))))</f>
        <v/>
      </c>
      <c r="L59" s="26">
        <f>SUM(I60:I69)</f>
        <v>55</v>
      </c>
      <c r="M59" s="25">
        <f>SUM(K60:K69)*10</f>
        <v>37.61</v>
      </c>
      <c r="N59" s="25">
        <f>METLTask5[[#This Row],[New SB Total]]/METLTask5[[#This Row],[New SB Weight]]</f>
        <v>0.68381818181818177</v>
      </c>
      <c r="O59" s="2" t="str">
        <f>IF(ISBLANK(METLTask5[[#This Row],[calc]]),"",IF(METLTask5[[#This Row],[calc]]&gt;=0.66,$A$5,IF(AND(METLTask5[[#This Row],[calc]]&lt;0.66,METLTask5[[#This Row],[calc]]&gt;=0.33),$A$6,IF(METLTask5[[#This Row],[calc]]&lt;0.33,"U"))))</f>
        <v>T</v>
      </c>
      <c r="P59" s="43"/>
    </row>
    <row r="60" spans="5:16" hidden="1" outlineLevel="1" x14ac:dyDescent="0.3">
      <c r="E60" s="27" t="s">
        <v>33</v>
      </c>
      <c r="F60" s="33"/>
      <c r="G60" s="20" t="s">
        <v>2</v>
      </c>
      <c r="H60" s="35" t="str">
        <f>IF(ISBLANK(METLTask5[[#This Row],[CDR''s Weight]]),"",VLOOKUP(METLTask5[[#This Row],[Commander''s Assessment]],Table222[],2,FALSE)*(1-(METLTask5[CDR''s Weight]-1)*(100/MAX(METLTask5[CDR''s Weight])/100)))</f>
        <v/>
      </c>
      <c r="I60" s="28">
        <v>2</v>
      </c>
      <c r="J60" s="24" t="str">
        <f>IF(ISNUMBER(SEARCH("→",METLTask5[[#This Row],[METL Task 5]])),"",IF(G60=$A$5,$B$5*METLTask5[[#This Row],[CDR''s Weight]],IF(G60=$A$6,$B$6*METLTask5[[#This Row],[CDR''s Weight]],IF(G60=$A$7,$B$7*METLTask5[[#This Row],[CDR''s Weight]]))))</f>
        <v/>
      </c>
      <c r="K60" s="25">
        <f>VLOOKUP(METLTask5[[#This Row],[Commander''s Assessment]],Table222[],2,FALSE)*(1-(($I$60:$I$69-1)*(100/MAX($I$60:$I$69)/100)))</f>
        <v>0.45</v>
      </c>
      <c r="L60" s="26"/>
      <c r="M60" s="25"/>
      <c r="N60" s="25"/>
      <c r="O60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60" s="43"/>
    </row>
    <row r="61" spans="5:16" hidden="1" outlineLevel="1" x14ac:dyDescent="0.3">
      <c r="E61" s="27" t="s">
        <v>24</v>
      </c>
      <c r="F61" s="33"/>
      <c r="G61" s="20" t="s">
        <v>1</v>
      </c>
      <c r="H61" s="35" t="str">
        <f>IF(ISBLANK(METLTask5[[#This Row],[CDR''s Weight]]),"",VLOOKUP(METLTask5[[#This Row],[Commander''s Assessment]],Table222[],2,FALSE)*(1-(METLTask5[CDR''s Weight]-1)*(100/MAX(METLTask5[CDR''s Weight])/100)))</f>
        <v/>
      </c>
      <c r="I61" s="28">
        <v>3</v>
      </c>
      <c r="J61" s="24" t="str">
        <f>IF(ISNUMBER(SEARCH("→",METLTask5[[#This Row],[METL Task 5]])),"",IF(G61=$A$5,$B$5*METLTask5[[#This Row],[CDR''s Weight]],IF(G61=$A$6,$B$6*METLTask5[[#This Row],[CDR''s Weight]],IF(G61=$A$7,$B$7*METLTask5[[#This Row],[CDR''s Weight]]))))</f>
        <v/>
      </c>
      <c r="K61" s="25">
        <f>VLOOKUP(METLTask5[[#This Row],[Commander''s Assessment]],Table222[],2,FALSE)*(1-(($I$60:$I$69-1)*(100/MAX($I$60:$I$69)/100)))</f>
        <v>0.8</v>
      </c>
      <c r="L61" s="26"/>
      <c r="M61" s="25"/>
      <c r="N61" s="25"/>
      <c r="O61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61" s="43"/>
    </row>
    <row r="62" spans="5:16" hidden="1" outlineLevel="1" x14ac:dyDescent="0.3">
      <c r="E62" s="27" t="s">
        <v>24</v>
      </c>
      <c r="F62" s="31"/>
      <c r="G62" s="20" t="s">
        <v>1</v>
      </c>
      <c r="H62" s="35" t="str">
        <f>IF(ISBLANK(METLTask5[[#This Row],[CDR''s Weight]]),"",VLOOKUP(METLTask5[[#This Row],[Commander''s Assessment]],Table222[],2,FALSE)*(1-(METLTask5[CDR''s Weight]-1)*(100/MAX(METLTask5[CDR''s Weight])/100)))</f>
        <v/>
      </c>
      <c r="I62" s="28">
        <v>4</v>
      </c>
      <c r="J62" s="24" t="str">
        <f>IF(ISNUMBER(SEARCH("→",METLTask5[[#This Row],[METL Task 5]])),"",IF(G62=$A$5,$B$5*METLTask5[[#This Row],[CDR''s Weight]],IF(G62=$A$6,$B$6*METLTask5[[#This Row],[CDR''s Weight]],IF(G62=$A$7,$B$7*METLTask5[[#This Row],[CDR''s Weight]]))))</f>
        <v/>
      </c>
      <c r="K62" s="25">
        <f>VLOOKUP(METLTask5[[#This Row],[Commander''s Assessment]],Table222[],2,FALSE)*(1-(($I$60:$I$69-1)*(100/MAX($I$60:$I$69)/100)))</f>
        <v>0.7</v>
      </c>
      <c r="L62" s="26"/>
      <c r="M62" s="25"/>
      <c r="N62" s="25"/>
      <c r="O62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62" s="43"/>
    </row>
    <row r="63" spans="5:16" hidden="1" outlineLevel="1" x14ac:dyDescent="0.3">
      <c r="E63" s="27" t="s">
        <v>24</v>
      </c>
      <c r="F63" s="33"/>
      <c r="G63" s="20" t="s">
        <v>1</v>
      </c>
      <c r="H63" s="35" t="str">
        <f>IF(ISBLANK(METLTask5[[#This Row],[CDR''s Weight]]),"",VLOOKUP(METLTask5[[#This Row],[Commander''s Assessment]],Table222[],2,FALSE)*(1-(METLTask5[CDR''s Weight]-1)*(100/MAX(METLTask5[CDR''s Weight])/100)))</f>
        <v/>
      </c>
      <c r="I63" s="28">
        <v>5</v>
      </c>
      <c r="J63" s="24" t="str">
        <f>IF(ISNUMBER(SEARCH("→",METLTask5[[#This Row],[METL Task 5]])),"",IF(G63=$A$5,$B$5*METLTask5[[#This Row],[CDR''s Weight]],IF(G63=$A$6,$B$6*METLTask5[[#This Row],[CDR''s Weight]],IF(G63=$A$7,$B$7*METLTask5[[#This Row],[CDR''s Weight]]))))</f>
        <v/>
      </c>
      <c r="K63" s="25">
        <f>VLOOKUP(METLTask5[[#This Row],[Commander''s Assessment]],Table222[],2,FALSE)*(1-(($I$60:$I$69-1)*(100/MAX($I$60:$I$69)/100)))</f>
        <v>0.6</v>
      </c>
      <c r="L63" s="26"/>
      <c r="M63" s="25"/>
      <c r="N63" s="25"/>
      <c r="O63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63" s="43"/>
    </row>
    <row r="64" spans="5:16" hidden="1" outlineLevel="1" x14ac:dyDescent="0.3">
      <c r="E64" s="27" t="s">
        <v>24</v>
      </c>
      <c r="F64" s="33"/>
      <c r="G64" s="20" t="s">
        <v>1</v>
      </c>
      <c r="H64" s="35" t="str">
        <f>IF(ISBLANK(METLTask5[[#This Row],[CDR''s Weight]]),"",VLOOKUP(METLTask5[[#This Row],[Commander''s Assessment]],Table222[],2,FALSE)*(1-(METLTask5[CDR''s Weight]-1)*(100/MAX(METLTask5[CDR''s Weight])/100)))</f>
        <v/>
      </c>
      <c r="I64" s="28">
        <v>6</v>
      </c>
      <c r="J64" s="24" t="str">
        <f>IF(ISNUMBER(SEARCH("→",METLTask5[[#This Row],[METL Task 5]])),"",IF(G64=$A$5,$B$5*METLTask5[[#This Row],[CDR''s Weight]],IF(G64=$A$6,$B$6*METLTask5[[#This Row],[CDR''s Weight]],IF(G64=$A$7,$B$7*METLTask5[[#This Row],[CDR''s Weight]]))))</f>
        <v/>
      </c>
      <c r="K64" s="25">
        <f>VLOOKUP(METLTask5[[#This Row],[Commander''s Assessment]],Table222[],2,FALSE)*(1-(($I$60:$I$69-1)*(100/MAX($I$60:$I$69)/100)))</f>
        <v>0.5</v>
      </c>
      <c r="L64" s="26"/>
      <c r="M64" s="25"/>
      <c r="N64" s="25"/>
      <c r="O64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64" s="43"/>
    </row>
    <row r="65" spans="5:16" hidden="1" outlineLevel="1" x14ac:dyDescent="0.3">
      <c r="E65" s="27" t="s">
        <v>24</v>
      </c>
      <c r="F65" s="33"/>
      <c r="G65" s="20" t="s">
        <v>2</v>
      </c>
      <c r="H65" s="35" t="str">
        <f>IF(ISBLANK(METLTask5[[#This Row],[CDR''s Weight]]),"",VLOOKUP(METLTask5[[#This Row],[Commander''s Assessment]],Table222[],2,FALSE)*(1-(METLTask5[CDR''s Weight]-1)*(100/MAX(METLTask5[CDR''s Weight])/100)))</f>
        <v/>
      </c>
      <c r="I65" s="28">
        <v>7</v>
      </c>
      <c r="J65" s="24" t="str">
        <f>IF(ISNUMBER(SEARCH("→",METLTask5[[#This Row],[METL Task 5]])),"",IF(G65=$A$5,$B$5*METLTask5[[#This Row],[CDR''s Weight]],IF(G65=$A$6,$B$6*METLTask5[[#This Row],[CDR''s Weight]],IF(G65=$A$7,$B$7*METLTask5[[#This Row],[CDR''s Weight]]))))</f>
        <v/>
      </c>
      <c r="K65" s="25">
        <f>VLOOKUP(METLTask5[[#This Row],[Commander''s Assessment]],Table222[],2,FALSE)*(1-(($I$60:$I$69-1)*(100/MAX($I$60:$I$69)/100)))</f>
        <v>0.19999999999999996</v>
      </c>
      <c r="L65" s="26"/>
      <c r="M65" s="25"/>
      <c r="N65" s="25"/>
      <c r="O65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65" s="43"/>
    </row>
    <row r="66" spans="5:16" hidden="1" outlineLevel="1" x14ac:dyDescent="0.3">
      <c r="E66" s="27" t="s">
        <v>24</v>
      </c>
      <c r="F66" s="33"/>
      <c r="G66" s="20" t="s">
        <v>1</v>
      </c>
      <c r="H66" s="35" t="str">
        <f>IF(ISBLANK(METLTask5[[#This Row],[CDR''s Weight]]),"",VLOOKUP(METLTask5[[#This Row],[Commander''s Assessment]],Table222[],2,FALSE)*(1-(METLTask5[CDR''s Weight]-1)*(100/MAX(METLTask5[CDR''s Weight])/100)))</f>
        <v/>
      </c>
      <c r="I66" s="28">
        <v>8</v>
      </c>
      <c r="J66" s="24" t="str">
        <f>IF(ISNUMBER(SEARCH("→",METLTask5[[#This Row],[METL Task 5]])),"",IF(G66=$A$5,$B$5*METLTask5[[#This Row],[CDR''s Weight]],IF(G66=$A$6,$B$6*METLTask5[[#This Row],[CDR''s Weight]],IF(G66=$A$7,$B$7*METLTask5[[#This Row],[CDR''s Weight]]))))</f>
        <v/>
      </c>
      <c r="K66" s="25">
        <f>VLOOKUP(METLTask5[[#This Row],[Commander''s Assessment]],Table222[],2,FALSE)*(1-(($I$60:$I$69-1)*(100/MAX($I$60:$I$69)/100)))</f>
        <v>0.29999999999999993</v>
      </c>
      <c r="L66" s="26"/>
      <c r="M66" s="25"/>
      <c r="N66" s="25"/>
      <c r="O66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66" s="43"/>
    </row>
    <row r="67" spans="5:16" hidden="1" outlineLevel="1" x14ac:dyDescent="0.3">
      <c r="E67" s="27" t="s">
        <v>24</v>
      </c>
      <c r="F67" s="33"/>
      <c r="G67" s="20" t="s">
        <v>1</v>
      </c>
      <c r="H67" s="35" t="str">
        <f>IF(ISBLANK(METLTask5[[#This Row],[CDR''s Weight]]),"",VLOOKUP(METLTask5[[#This Row],[Commander''s Assessment]],Table222[],2,FALSE)*(1-(METLTask5[CDR''s Weight]-1)*(100/MAX(METLTask5[CDR''s Weight])/100)))</f>
        <v/>
      </c>
      <c r="I67" s="28">
        <v>9</v>
      </c>
      <c r="J67" s="24" t="str">
        <f>IF(ISNUMBER(SEARCH("→",METLTask5[[#This Row],[METL Task 5]])),"",IF(G67=$A$5,$B$5*METLTask5[[#This Row],[CDR''s Weight]],IF(G67=$A$6,$B$6*METLTask5[[#This Row],[CDR''s Weight]],IF(G67=$A$7,$B$7*METLTask5[[#This Row],[CDR''s Weight]]))))</f>
        <v/>
      </c>
      <c r="K67" s="25">
        <f>VLOOKUP(METLTask5[[#This Row],[Commander''s Assessment]],Table222[],2,FALSE)*(1-(($I$60:$I$69-1)*(100/MAX($I$60:$I$69)/100)))</f>
        <v>0.19999999999999996</v>
      </c>
      <c r="L67" s="26"/>
      <c r="M67" s="25"/>
      <c r="N67" s="25"/>
      <c r="O67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67" s="43"/>
    </row>
    <row r="68" spans="5:16" hidden="1" outlineLevel="1" x14ac:dyDescent="0.3">
      <c r="E68" s="27" t="s">
        <v>24</v>
      </c>
      <c r="F68" s="33"/>
      <c r="G68" s="20" t="s">
        <v>3</v>
      </c>
      <c r="H68" s="35" t="str">
        <f>IF(ISBLANK(METLTask5[[#This Row],[CDR''s Weight]]),"",VLOOKUP(METLTask5[[#This Row],[Commander''s Assessment]],Table222[],2,FALSE)*(1-(METLTask5[CDR''s Weight]-1)*(100/MAX(METLTask5[CDR''s Weight])/100)))</f>
        <v/>
      </c>
      <c r="I68" s="28">
        <v>10</v>
      </c>
      <c r="J68" s="24" t="str">
        <f>IF(ISNUMBER(SEARCH("→",METLTask5[[#This Row],[METL Task 5]])),"",IF(G68=$A$5,$B$5*METLTask5[[#This Row],[CDR''s Weight]],IF(G68=$A$6,$B$6*METLTask5[[#This Row],[CDR''s Weight]],IF(G68=$A$7,$B$7*METLTask5[[#This Row],[CDR''s Weight]]))))</f>
        <v/>
      </c>
      <c r="K68" s="25">
        <f>VLOOKUP(METLTask5[[#This Row],[Commander''s Assessment]],Table222[],2,FALSE)*(1-(($I$60:$I$69-1)*(100/MAX($I$60:$I$69)/100)))</f>
        <v>9.999999999999998E-4</v>
      </c>
      <c r="L68" s="26"/>
      <c r="M68" s="25"/>
      <c r="N68" s="25"/>
      <c r="O68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68" s="43"/>
    </row>
    <row r="69" spans="5:16" hidden="1" outlineLevel="1" x14ac:dyDescent="0.3">
      <c r="E69" s="27" t="s">
        <v>24</v>
      </c>
      <c r="F69" s="31"/>
      <c r="G69" s="20" t="s">
        <v>3</v>
      </c>
      <c r="H69" s="35" t="str">
        <f>IF(ISBLANK(METLTask5[[#This Row],[CDR''s Weight]]),"",VLOOKUP(METLTask5[[#This Row],[Commander''s Assessment]],Table222[],2,FALSE)*(1-(METLTask5[CDR''s Weight]-1)*(100/MAX(METLTask5[CDR''s Weight])/100)))</f>
        <v/>
      </c>
      <c r="I69" s="29">
        <v>1</v>
      </c>
      <c r="J69" s="24" t="str">
        <f>IF(ISNUMBER(SEARCH("→",METLTask5[[#This Row],[METL Task 5]])),"",IF(G69=$A$5,$B$5*METLTask5[[#This Row],[CDR''s Weight]],IF(G69=$A$6,$B$6*METLTask5[[#This Row],[CDR''s Weight]],IF(G69=$A$7,$B$7*METLTask5[[#This Row],[CDR''s Weight]]))))</f>
        <v/>
      </c>
      <c r="K69" s="25">
        <f>VLOOKUP(METLTask5[[#This Row],[Commander''s Assessment]],Table222[],2,FALSE)*(1-(($I$60:$I$69-1)*(100/MAX($I$60:$I$69)/100)))</f>
        <v>0.01</v>
      </c>
      <c r="L69" s="26"/>
      <c r="M69" s="21"/>
      <c r="N69" s="21"/>
      <c r="O69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69" s="43"/>
    </row>
    <row r="70" spans="5:16" collapsed="1" x14ac:dyDescent="0.3">
      <c r="E70" s="22" t="s">
        <v>16</v>
      </c>
      <c r="F70" s="20">
        <v>7</v>
      </c>
      <c r="G70" s="20" t="s">
        <v>18</v>
      </c>
      <c r="H70" s="35">
        <f>IF(ISBLANK(METLTask5[[#This Row],[CDR''s Weight]]),"",VLOOKUP(METLTask5[[#This Row],[Commander''s Assessment]],Table222[],2,FALSE)*(1-(METLTask5[CDR''s Weight]-1)*(100/MAX(METLTask5[CDR''s Weight])/100)))</f>
        <v>0.39999999999999991</v>
      </c>
      <c r="I70" s="23"/>
      <c r="J70" s="24">
        <f>IF(ISNUMBER(SEARCH("→",METLTask5[[#This Row],[METL Task 5]])),"",IF(G70=$A$5,$B$5*METLTask5[[#This Row],[CDR''s Weight]],IF(G70=$A$6,$B$6*METLTask5[[#This Row],[CDR''s Weight]],IF(G70=$A$7,$B$7*METLTask5[[#This Row],[CDR''s Weight]]))))</f>
        <v>7</v>
      </c>
      <c r="K70" s="25" t="str">
        <f>IF(ISNUMBER(METLTask5[[#This Row],[Total]]),"",VLOOKUP(METLTask5[[#This Row],[Commander''s Assessment]],Table222[],2,FALSE)*(1-(($I$71:$I$80-1)*(100/MAX($I$71:$I$80)/100))))</f>
        <v/>
      </c>
      <c r="L70" s="26">
        <f>SUM(I71:I80)</f>
        <v>55</v>
      </c>
      <c r="M70" s="25">
        <f>SUM(K71:K80)*10</f>
        <v>37.61</v>
      </c>
      <c r="N70" s="25">
        <f>METLTask5[[#This Row],[New SB Total]]/METLTask5[[#This Row],[New SB Weight]]</f>
        <v>0.68381818181818177</v>
      </c>
      <c r="O70" s="2" t="str">
        <f>IF(ISBLANK(METLTask5[[#This Row],[calc]]),"",IF(METLTask5[[#This Row],[calc]]&gt;=0.66,$A$5,IF(AND(METLTask5[[#This Row],[calc]]&lt;0.66,METLTask5[[#This Row],[calc]]&gt;=0.33),$A$6,IF(METLTask5[[#This Row],[calc]]&lt;0.33,"U"))))</f>
        <v>T</v>
      </c>
      <c r="P70" s="43"/>
    </row>
    <row r="71" spans="5:16" hidden="1" outlineLevel="1" x14ac:dyDescent="0.3">
      <c r="E71" s="27" t="s">
        <v>33</v>
      </c>
      <c r="F71" s="33"/>
      <c r="G71" s="20" t="s">
        <v>2</v>
      </c>
      <c r="H71" s="35" t="str">
        <f>IF(ISBLANK(METLTask5[[#This Row],[CDR''s Weight]]),"",VLOOKUP(METLTask5[[#This Row],[Commander''s Assessment]],Table222[],2,FALSE)*(1-(METLTask5[CDR''s Weight]-1)*(100/MAX(METLTask5[CDR''s Weight])/100)))</f>
        <v/>
      </c>
      <c r="I71" s="28">
        <v>2</v>
      </c>
      <c r="J71" s="24" t="str">
        <f>IF(ISNUMBER(SEARCH("→",METLTask5[[#This Row],[METL Task 5]])),"",IF(G71=$A$5,$B$5*METLTask5[[#This Row],[CDR''s Weight]],IF(G71=$A$6,$B$6*METLTask5[[#This Row],[CDR''s Weight]],IF(G71=$A$7,$B$7*METLTask5[[#This Row],[CDR''s Weight]]))))</f>
        <v/>
      </c>
      <c r="K71" s="25">
        <f>VLOOKUP(METLTask5[[#This Row],[Commander''s Assessment]],Table222[],2,FALSE)*(1-(($I$71:$I$80-1)*(100/MAX($I$71:$I$80)/100)))</f>
        <v>0.45</v>
      </c>
      <c r="L71" s="26"/>
      <c r="M71" s="25"/>
      <c r="N71" s="25"/>
      <c r="O71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71" s="43"/>
    </row>
    <row r="72" spans="5:16" hidden="1" outlineLevel="1" x14ac:dyDescent="0.3">
      <c r="E72" s="27" t="s">
        <v>24</v>
      </c>
      <c r="F72" s="33"/>
      <c r="G72" s="20" t="s">
        <v>1</v>
      </c>
      <c r="H72" s="35" t="str">
        <f>IF(ISBLANK(METLTask5[[#This Row],[CDR''s Weight]]),"",VLOOKUP(METLTask5[[#This Row],[Commander''s Assessment]],Table222[],2,FALSE)*(1-(METLTask5[CDR''s Weight]-1)*(100/MAX(METLTask5[CDR''s Weight])/100)))</f>
        <v/>
      </c>
      <c r="I72" s="28">
        <v>3</v>
      </c>
      <c r="J72" s="24" t="str">
        <f>IF(ISNUMBER(SEARCH("→",METLTask5[[#This Row],[METL Task 5]])),"",IF(G72=$A$5,$B$5*METLTask5[[#This Row],[CDR''s Weight]],IF(G72=$A$6,$B$6*METLTask5[[#This Row],[CDR''s Weight]],IF(G72=$A$7,$B$7*METLTask5[[#This Row],[CDR''s Weight]]))))</f>
        <v/>
      </c>
      <c r="K72" s="25">
        <f>VLOOKUP(METLTask5[[#This Row],[Commander''s Assessment]],Table222[],2,FALSE)*(1-(($I$71:$I$80-1)*(100/MAX($I$71:$I$80)/100)))</f>
        <v>0.8</v>
      </c>
      <c r="L72" s="26"/>
      <c r="M72" s="25"/>
      <c r="N72" s="25"/>
      <c r="O72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72" s="43"/>
    </row>
    <row r="73" spans="5:16" hidden="1" outlineLevel="1" x14ac:dyDescent="0.3">
      <c r="E73" s="27" t="s">
        <v>24</v>
      </c>
      <c r="F73" s="31"/>
      <c r="G73" s="20" t="s">
        <v>1</v>
      </c>
      <c r="H73" s="35" t="str">
        <f>IF(ISBLANK(METLTask5[[#This Row],[CDR''s Weight]]),"",VLOOKUP(METLTask5[[#This Row],[Commander''s Assessment]],Table222[],2,FALSE)*(1-(METLTask5[CDR''s Weight]-1)*(100/MAX(METLTask5[CDR''s Weight])/100)))</f>
        <v/>
      </c>
      <c r="I73" s="28">
        <v>4</v>
      </c>
      <c r="J73" s="24" t="str">
        <f>IF(ISNUMBER(SEARCH("→",METLTask5[[#This Row],[METL Task 5]])),"",IF(G73=$A$5,$B$5*METLTask5[[#This Row],[CDR''s Weight]],IF(G73=$A$6,$B$6*METLTask5[[#This Row],[CDR''s Weight]],IF(G73=$A$7,$B$7*METLTask5[[#This Row],[CDR''s Weight]]))))</f>
        <v/>
      </c>
      <c r="K73" s="25">
        <f>VLOOKUP(METLTask5[[#This Row],[Commander''s Assessment]],Table222[],2,FALSE)*(1-(($I$71:$I$80-1)*(100/MAX($I$71:$I$80)/100)))</f>
        <v>0.7</v>
      </c>
      <c r="L73" s="26"/>
      <c r="M73" s="25"/>
      <c r="N73" s="25"/>
      <c r="O73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73" s="43"/>
    </row>
    <row r="74" spans="5:16" hidden="1" outlineLevel="1" x14ac:dyDescent="0.3">
      <c r="E74" s="27" t="s">
        <v>24</v>
      </c>
      <c r="F74" s="33"/>
      <c r="G74" s="20" t="s">
        <v>1</v>
      </c>
      <c r="H74" s="35" t="str">
        <f>IF(ISBLANK(METLTask5[[#This Row],[CDR''s Weight]]),"",VLOOKUP(METLTask5[[#This Row],[Commander''s Assessment]],Table222[],2,FALSE)*(1-(METLTask5[CDR''s Weight]-1)*(100/MAX(METLTask5[CDR''s Weight])/100)))</f>
        <v/>
      </c>
      <c r="I74" s="28">
        <v>5</v>
      </c>
      <c r="J74" s="24" t="str">
        <f>IF(ISNUMBER(SEARCH("→",METLTask5[[#This Row],[METL Task 5]])),"",IF(G74=$A$5,$B$5*METLTask5[[#This Row],[CDR''s Weight]],IF(G74=$A$6,$B$6*METLTask5[[#This Row],[CDR''s Weight]],IF(G74=$A$7,$B$7*METLTask5[[#This Row],[CDR''s Weight]]))))</f>
        <v/>
      </c>
      <c r="K74" s="25">
        <f>VLOOKUP(METLTask5[[#This Row],[Commander''s Assessment]],Table222[],2,FALSE)*(1-(($I$71:$I$80-1)*(100/MAX($I$71:$I$80)/100)))</f>
        <v>0.6</v>
      </c>
      <c r="L74" s="26"/>
      <c r="M74" s="25"/>
      <c r="N74" s="25"/>
      <c r="O74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74" s="43"/>
    </row>
    <row r="75" spans="5:16" hidden="1" outlineLevel="1" x14ac:dyDescent="0.3">
      <c r="E75" s="27" t="s">
        <v>24</v>
      </c>
      <c r="F75" s="33"/>
      <c r="G75" s="20" t="s">
        <v>1</v>
      </c>
      <c r="H75" s="35" t="str">
        <f>IF(ISBLANK(METLTask5[[#This Row],[CDR''s Weight]]),"",VLOOKUP(METLTask5[[#This Row],[Commander''s Assessment]],Table222[],2,FALSE)*(1-(METLTask5[CDR''s Weight]-1)*(100/MAX(METLTask5[CDR''s Weight])/100)))</f>
        <v/>
      </c>
      <c r="I75" s="28">
        <v>6</v>
      </c>
      <c r="J75" s="24" t="str">
        <f>IF(ISNUMBER(SEARCH("→",METLTask5[[#This Row],[METL Task 5]])),"",IF(G75=$A$5,$B$5*METLTask5[[#This Row],[CDR''s Weight]],IF(G75=$A$6,$B$6*METLTask5[[#This Row],[CDR''s Weight]],IF(G75=$A$7,$B$7*METLTask5[[#This Row],[CDR''s Weight]]))))</f>
        <v/>
      </c>
      <c r="K75" s="25">
        <f>VLOOKUP(METLTask5[[#This Row],[Commander''s Assessment]],Table222[],2,FALSE)*(1-(($I$71:$I$80-1)*(100/MAX($I$71:$I$80)/100)))</f>
        <v>0.5</v>
      </c>
      <c r="L75" s="26"/>
      <c r="M75" s="25"/>
      <c r="N75" s="25"/>
      <c r="O75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75" s="43"/>
    </row>
    <row r="76" spans="5:16" hidden="1" outlineLevel="1" x14ac:dyDescent="0.3">
      <c r="E76" s="27" t="s">
        <v>24</v>
      </c>
      <c r="F76" s="33"/>
      <c r="G76" s="20" t="s">
        <v>2</v>
      </c>
      <c r="H76" s="35" t="str">
        <f>IF(ISBLANK(METLTask5[[#This Row],[CDR''s Weight]]),"",VLOOKUP(METLTask5[[#This Row],[Commander''s Assessment]],Table222[],2,FALSE)*(1-(METLTask5[CDR''s Weight]-1)*(100/MAX(METLTask5[CDR''s Weight])/100)))</f>
        <v/>
      </c>
      <c r="I76" s="28">
        <v>7</v>
      </c>
      <c r="J76" s="24" t="str">
        <f>IF(ISNUMBER(SEARCH("→",METLTask5[[#This Row],[METL Task 5]])),"",IF(G76=$A$5,$B$5*METLTask5[[#This Row],[CDR''s Weight]],IF(G76=$A$6,$B$6*METLTask5[[#This Row],[CDR''s Weight]],IF(G76=$A$7,$B$7*METLTask5[[#This Row],[CDR''s Weight]]))))</f>
        <v/>
      </c>
      <c r="K76" s="25">
        <f>VLOOKUP(METLTask5[[#This Row],[Commander''s Assessment]],Table222[],2,FALSE)*(1-(($I$71:$I$80-1)*(100/MAX($I$71:$I$80)/100)))</f>
        <v>0.19999999999999996</v>
      </c>
      <c r="L76" s="26"/>
      <c r="M76" s="25"/>
      <c r="N76" s="25"/>
      <c r="O76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76" s="43"/>
    </row>
    <row r="77" spans="5:16" hidden="1" outlineLevel="1" x14ac:dyDescent="0.3">
      <c r="E77" s="27" t="s">
        <v>24</v>
      </c>
      <c r="F77" s="33"/>
      <c r="G77" s="20" t="s">
        <v>1</v>
      </c>
      <c r="H77" s="35" t="str">
        <f>IF(ISBLANK(METLTask5[[#This Row],[CDR''s Weight]]),"",VLOOKUP(METLTask5[[#This Row],[Commander''s Assessment]],Table222[],2,FALSE)*(1-(METLTask5[CDR''s Weight]-1)*(100/MAX(METLTask5[CDR''s Weight])/100)))</f>
        <v/>
      </c>
      <c r="I77" s="28">
        <v>8</v>
      </c>
      <c r="J77" s="24" t="str">
        <f>IF(ISNUMBER(SEARCH("→",METLTask5[[#This Row],[METL Task 5]])),"",IF(G77=$A$5,$B$5*METLTask5[[#This Row],[CDR''s Weight]],IF(G77=$A$6,$B$6*METLTask5[[#This Row],[CDR''s Weight]],IF(G77=$A$7,$B$7*METLTask5[[#This Row],[CDR''s Weight]]))))</f>
        <v/>
      </c>
      <c r="K77" s="25">
        <f>VLOOKUP(METLTask5[[#This Row],[Commander''s Assessment]],Table222[],2,FALSE)*(1-(($I$71:$I$80-1)*(100/MAX($I$71:$I$80)/100)))</f>
        <v>0.29999999999999993</v>
      </c>
      <c r="L77" s="26"/>
      <c r="M77" s="25"/>
      <c r="N77" s="25"/>
      <c r="O77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77" s="43"/>
    </row>
    <row r="78" spans="5:16" hidden="1" outlineLevel="1" x14ac:dyDescent="0.3">
      <c r="E78" s="27" t="s">
        <v>24</v>
      </c>
      <c r="F78" s="33"/>
      <c r="G78" s="20" t="s">
        <v>1</v>
      </c>
      <c r="H78" s="35" t="str">
        <f>IF(ISBLANK(METLTask5[[#This Row],[CDR''s Weight]]),"",VLOOKUP(METLTask5[[#This Row],[Commander''s Assessment]],Table222[],2,FALSE)*(1-(METLTask5[CDR''s Weight]-1)*(100/MAX(METLTask5[CDR''s Weight])/100)))</f>
        <v/>
      </c>
      <c r="I78" s="28">
        <v>9</v>
      </c>
      <c r="J78" s="24" t="str">
        <f>IF(ISNUMBER(SEARCH("→",METLTask5[[#This Row],[METL Task 5]])),"",IF(G78=$A$5,$B$5*METLTask5[[#This Row],[CDR''s Weight]],IF(G78=$A$6,$B$6*METLTask5[[#This Row],[CDR''s Weight]],IF(G78=$A$7,$B$7*METLTask5[[#This Row],[CDR''s Weight]]))))</f>
        <v/>
      </c>
      <c r="K78" s="25">
        <f>VLOOKUP(METLTask5[[#This Row],[Commander''s Assessment]],Table222[],2,FALSE)*(1-(($I$71:$I$80-1)*(100/MAX($I$71:$I$80)/100)))</f>
        <v>0.19999999999999996</v>
      </c>
      <c r="L78" s="26"/>
      <c r="M78" s="25"/>
      <c r="N78" s="25"/>
      <c r="O78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78" s="43"/>
    </row>
    <row r="79" spans="5:16" hidden="1" outlineLevel="1" x14ac:dyDescent="0.3">
      <c r="E79" s="27" t="s">
        <v>24</v>
      </c>
      <c r="F79" s="33"/>
      <c r="G79" s="20" t="s">
        <v>3</v>
      </c>
      <c r="H79" s="35" t="str">
        <f>IF(ISBLANK(METLTask5[[#This Row],[CDR''s Weight]]),"",VLOOKUP(METLTask5[[#This Row],[Commander''s Assessment]],Table222[],2,FALSE)*(1-(METLTask5[CDR''s Weight]-1)*(100/MAX(METLTask5[CDR''s Weight])/100)))</f>
        <v/>
      </c>
      <c r="I79" s="28">
        <v>10</v>
      </c>
      <c r="J79" s="24" t="str">
        <f>IF(ISNUMBER(SEARCH("→",METLTask5[[#This Row],[METL Task 5]])),"",IF(G79=$A$5,$B$5*METLTask5[[#This Row],[CDR''s Weight]],IF(G79=$A$6,$B$6*METLTask5[[#This Row],[CDR''s Weight]],IF(G79=$A$7,$B$7*METLTask5[[#This Row],[CDR''s Weight]]))))</f>
        <v/>
      </c>
      <c r="K79" s="25">
        <f>VLOOKUP(METLTask5[[#This Row],[Commander''s Assessment]],Table222[],2,FALSE)*(1-(($I$71:$I$80-1)*(100/MAX($I$71:$I$80)/100)))</f>
        <v>9.999999999999998E-4</v>
      </c>
      <c r="L79" s="26"/>
      <c r="M79" s="25"/>
      <c r="N79" s="25"/>
      <c r="O79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79" s="43"/>
    </row>
    <row r="80" spans="5:16" hidden="1" outlineLevel="1" x14ac:dyDescent="0.3">
      <c r="E80" s="27" t="s">
        <v>24</v>
      </c>
      <c r="F80" s="31"/>
      <c r="G80" s="20" t="s">
        <v>3</v>
      </c>
      <c r="H80" s="35" t="str">
        <f>IF(ISBLANK(METLTask5[[#This Row],[CDR''s Weight]]),"",VLOOKUP(METLTask5[[#This Row],[Commander''s Assessment]],Table222[],2,FALSE)*(1-(METLTask5[CDR''s Weight]-1)*(100/MAX(METLTask5[CDR''s Weight])/100)))</f>
        <v/>
      </c>
      <c r="I80" s="29">
        <v>1</v>
      </c>
      <c r="J80" s="24" t="str">
        <f>IF(ISNUMBER(SEARCH("→",METLTask5[[#This Row],[METL Task 5]])),"",IF(G80=$A$5,$B$5*METLTask5[[#This Row],[CDR''s Weight]],IF(G80=$A$6,$B$6*METLTask5[[#This Row],[CDR''s Weight]],IF(G80=$A$7,$B$7*METLTask5[[#This Row],[CDR''s Weight]]))))</f>
        <v/>
      </c>
      <c r="K80" s="25">
        <f>VLOOKUP(METLTask5[[#This Row],[Commander''s Assessment]],Table222[],2,FALSE)*(1-(($I$71:$I$80-1)*(100/MAX($I$71:$I$80)/100)))</f>
        <v>0.01</v>
      </c>
      <c r="L80" s="26"/>
      <c r="M80" s="21"/>
      <c r="N80" s="21"/>
      <c r="O80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80" s="43"/>
    </row>
    <row r="81" spans="5:16" collapsed="1" x14ac:dyDescent="0.3">
      <c r="E81" s="22" t="s">
        <v>16</v>
      </c>
      <c r="F81" s="20">
        <v>8</v>
      </c>
      <c r="G81" s="20" t="s">
        <v>18</v>
      </c>
      <c r="H81" s="35">
        <f>IF(ISBLANK(METLTask5[[#This Row],[CDR''s Weight]]),"",VLOOKUP(METLTask5[[#This Row],[Commander''s Assessment]],Table222[],2,FALSE)*(1-(METLTask5[CDR''s Weight]-1)*(100/MAX(METLTask5[CDR''s Weight])/100)))</f>
        <v>0.29999999999999993</v>
      </c>
      <c r="I81" s="23"/>
      <c r="J81" s="24">
        <f>IF(ISNUMBER(SEARCH("→",METLTask5[[#This Row],[METL Task 5]])),"",IF(G81=$A$5,$B$5*METLTask5[[#This Row],[CDR''s Weight]],IF(G81=$A$6,$B$6*METLTask5[[#This Row],[CDR''s Weight]],IF(G81=$A$7,$B$7*METLTask5[[#This Row],[CDR''s Weight]]))))</f>
        <v>8</v>
      </c>
      <c r="K81" s="25" t="str">
        <f>IF(ISNUMBER(METLTask5[[#This Row],[Total]]),"",VLOOKUP(METLTask5[[#This Row],[Commander''s Assessment]],Table222[],2,FALSE)*(1-(($I$82:$I$91-1)*(100/MAX($I$82:$I$91)/100))))</f>
        <v/>
      </c>
      <c r="L81" s="26">
        <f>SUM(I82:I91)</f>
        <v>55</v>
      </c>
      <c r="M81" s="25">
        <f>SUM(K82:K91)*10</f>
        <v>37.61</v>
      </c>
      <c r="N81" s="25">
        <f>METLTask5[[#This Row],[New SB Total]]/METLTask5[[#This Row],[New SB Weight]]</f>
        <v>0.68381818181818177</v>
      </c>
      <c r="O81" s="2" t="str">
        <f>IF(ISBLANK(METLTask5[[#This Row],[calc]]),"",IF(METLTask5[[#This Row],[calc]]&gt;=0.66,$A$5,IF(AND(METLTask5[[#This Row],[calc]]&lt;0.66,METLTask5[[#This Row],[calc]]&gt;=0.33),$A$6,IF(METLTask5[[#This Row],[calc]]&lt;0.33,"U"))))</f>
        <v>T</v>
      </c>
      <c r="P81" s="43"/>
    </row>
    <row r="82" spans="5:16" hidden="1" outlineLevel="1" x14ac:dyDescent="0.3">
      <c r="E82" s="27" t="s">
        <v>33</v>
      </c>
      <c r="F82" s="33"/>
      <c r="G82" s="20" t="s">
        <v>2</v>
      </c>
      <c r="H82" s="35" t="str">
        <f>IF(ISBLANK(METLTask5[[#This Row],[CDR''s Weight]]),"",VLOOKUP(METLTask5[[#This Row],[Commander''s Assessment]],Table222[],2,FALSE)*(1-(METLTask5[CDR''s Weight]-1)*(100/MAX(METLTask5[CDR''s Weight])/100)))</f>
        <v/>
      </c>
      <c r="I82" s="28">
        <v>2</v>
      </c>
      <c r="J82" s="24" t="str">
        <f>IF(ISNUMBER(SEARCH("→",METLTask5[[#This Row],[METL Task 5]])),"",IF(G82=$A$5,$B$5*METLTask5[[#This Row],[CDR''s Weight]],IF(G82=$A$6,$B$6*METLTask5[[#This Row],[CDR''s Weight]],IF(G82=$A$7,$B$7*METLTask5[[#This Row],[CDR''s Weight]]))))</f>
        <v/>
      </c>
      <c r="K82" s="25">
        <f>VLOOKUP(METLTask5[[#This Row],[Commander''s Assessment]],Table222[],2,FALSE)*(1-(($I$82:$I$91-1)*(100/MAX($I$82:$I$91)/100)))</f>
        <v>0.45</v>
      </c>
      <c r="L82" s="26"/>
      <c r="M82" s="25"/>
      <c r="N82" s="25"/>
      <c r="O82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82" s="43"/>
    </row>
    <row r="83" spans="5:16" hidden="1" outlineLevel="1" x14ac:dyDescent="0.3">
      <c r="E83" s="27" t="s">
        <v>24</v>
      </c>
      <c r="F83" s="33"/>
      <c r="G83" s="20" t="s">
        <v>1</v>
      </c>
      <c r="H83" s="35" t="str">
        <f>IF(ISBLANK(METLTask5[[#This Row],[CDR''s Weight]]),"",VLOOKUP(METLTask5[[#This Row],[Commander''s Assessment]],Table222[],2,FALSE)*(1-(METLTask5[CDR''s Weight]-1)*(100/MAX(METLTask5[CDR''s Weight])/100)))</f>
        <v/>
      </c>
      <c r="I83" s="28">
        <v>3</v>
      </c>
      <c r="J83" s="24" t="str">
        <f>IF(ISNUMBER(SEARCH("→",METLTask5[[#This Row],[METL Task 5]])),"",IF(G83=$A$5,$B$5*METLTask5[[#This Row],[CDR''s Weight]],IF(G83=$A$6,$B$6*METLTask5[[#This Row],[CDR''s Weight]],IF(G83=$A$7,$B$7*METLTask5[[#This Row],[CDR''s Weight]]))))</f>
        <v/>
      </c>
      <c r="K83" s="25">
        <f>VLOOKUP(METLTask5[[#This Row],[Commander''s Assessment]],Table222[],2,FALSE)*(1-(($I$82:$I$91-1)*(100/MAX($I$82:$I$91)/100)))</f>
        <v>0.8</v>
      </c>
      <c r="L83" s="26"/>
      <c r="M83" s="25"/>
      <c r="N83" s="25"/>
      <c r="O83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83" s="43"/>
    </row>
    <row r="84" spans="5:16" hidden="1" outlineLevel="1" x14ac:dyDescent="0.3">
      <c r="E84" s="27" t="s">
        <v>24</v>
      </c>
      <c r="F84" s="31"/>
      <c r="G84" s="20" t="s">
        <v>1</v>
      </c>
      <c r="H84" s="35" t="str">
        <f>IF(ISBLANK(METLTask5[[#This Row],[CDR''s Weight]]),"",VLOOKUP(METLTask5[[#This Row],[Commander''s Assessment]],Table222[],2,FALSE)*(1-(METLTask5[CDR''s Weight]-1)*(100/MAX(METLTask5[CDR''s Weight])/100)))</f>
        <v/>
      </c>
      <c r="I84" s="28">
        <v>4</v>
      </c>
      <c r="J84" s="24" t="str">
        <f>IF(ISNUMBER(SEARCH("→",METLTask5[[#This Row],[METL Task 5]])),"",IF(G84=$A$5,$B$5*METLTask5[[#This Row],[CDR''s Weight]],IF(G84=$A$6,$B$6*METLTask5[[#This Row],[CDR''s Weight]],IF(G84=$A$7,$B$7*METLTask5[[#This Row],[CDR''s Weight]]))))</f>
        <v/>
      </c>
      <c r="K84" s="25">
        <f>VLOOKUP(METLTask5[[#This Row],[Commander''s Assessment]],Table222[],2,FALSE)*(1-(($I$82:$I$91-1)*(100/MAX($I$82:$I$91)/100)))</f>
        <v>0.7</v>
      </c>
      <c r="L84" s="26"/>
      <c r="M84" s="25"/>
      <c r="N84" s="25"/>
      <c r="O84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84" s="43"/>
    </row>
    <row r="85" spans="5:16" hidden="1" outlineLevel="1" x14ac:dyDescent="0.3">
      <c r="E85" s="27" t="s">
        <v>24</v>
      </c>
      <c r="F85" s="33"/>
      <c r="G85" s="20" t="s">
        <v>1</v>
      </c>
      <c r="H85" s="35" t="str">
        <f>IF(ISBLANK(METLTask5[[#This Row],[CDR''s Weight]]),"",VLOOKUP(METLTask5[[#This Row],[Commander''s Assessment]],Table222[],2,FALSE)*(1-(METLTask5[CDR''s Weight]-1)*(100/MAX(METLTask5[CDR''s Weight])/100)))</f>
        <v/>
      </c>
      <c r="I85" s="28">
        <v>5</v>
      </c>
      <c r="J85" s="24" t="str">
        <f>IF(ISNUMBER(SEARCH("→",METLTask5[[#This Row],[METL Task 5]])),"",IF(G85=$A$5,$B$5*METLTask5[[#This Row],[CDR''s Weight]],IF(G85=$A$6,$B$6*METLTask5[[#This Row],[CDR''s Weight]],IF(G85=$A$7,$B$7*METLTask5[[#This Row],[CDR''s Weight]]))))</f>
        <v/>
      </c>
      <c r="K85" s="25">
        <f>VLOOKUP(METLTask5[[#This Row],[Commander''s Assessment]],Table222[],2,FALSE)*(1-(($I$82:$I$91-1)*(100/MAX($I$82:$I$91)/100)))</f>
        <v>0.6</v>
      </c>
      <c r="L85" s="26"/>
      <c r="M85" s="25"/>
      <c r="N85" s="25"/>
      <c r="O85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85" s="43"/>
    </row>
    <row r="86" spans="5:16" hidden="1" outlineLevel="1" x14ac:dyDescent="0.3">
      <c r="E86" s="27" t="s">
        <v>24</v>
      </c>
      <c r="F86" s="33"/>
      <c r="G86" s="20" t="s">
        <v>1</v>
      </c>
      <c r="H86" s="35" t="str">
        <f>IF(ISBLANK(METLTask5[[#This Row],[CDR''s Weight]]),"",VLOOKUP(METLTask5[[#This Row],[Commander''s Assessment]],Table222[],2,FALSE)*(1-(METLTask5[CDR''s Weight]-1)*(100/MAX(METLTask5[CDR''s Weight])/100)))</f>
        <v/>
      </c>
      <c r="I86" s="28">
        <v>6</v>
      </c>
      <c r="J86" s="24" t="str">
        <f>IF(ISNUMBER(SEARCH("→",METLTask5[[#This Row],[METL Task 5]])),"",IF(G86=$A$5,$B$5*METLTask5[[#This Row],[CDR''s Weight]],IF(G86=$A$6,$B$6*METLTask5[[#This Row],[CDR''s Weight]],IF(G86=$A$7,$B$7*METLTask5[[#This Row],[CDR''s Weight]]))))</f>
        <v/>
      </c>
      <c r="K86" s="25">
        <f>VLOOKUP(METLTask5[[#This Row],[Commander''s Assessment]],Table222[],2,FALSE)*(1-(($I$82:$I$91-1)*(100/MAX($I$82:$I$91)/100)))</f>
        <v>0.5</v>
      </c>
      <c r="L86" s="26"/>
      <c r="M86" s="25"/>
      <c r="N86" s="25"/>
      <c r="O86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86" s="43"/>
    </row>
    <row r="87" spans="5:16" hidden="1" outlineLevel="1" x14ac:dyDescent="0.3">
      <c r="E87" s="27" t="s">
        <v>24</v>
      </c>
      <c r="F87" s="33"/>
      <c r="G87" s="20" t="s">
        <v>2</v>
      </c>
      <c r="H87" s="35" t="str">
        <f>IF(ISBLANK(METLTask5[[#This Row],[CDR''s Weight]]),"",VLOOKUP(METLTask5[[#This Row],[Commander''s Assessment]],Table222[],2,FALSE)*(1-(METLTask5[CDR''s Weight]-1)*(100/MAX(METLTask5[CDR''s Weight])/100)))</f>
        <v/>
      </c>
      <c r="I87" s="28">
        <v>7</v>
      </c>
      <c r="J87" s="24" t="str">
        <f>IF(ISNUMBER(SEARCH("→",METLTask5[[#This Row],[METL Task 5]])),"",IF(G87=$A$5,$B$5*METLTask5[[#This Row],[CDR''s Weight]],IF(G87=$A$6,$B$6*METLTask5[[#This Row],[CDR''s Weight]],IF(G87=$A$7,$B$7*METLTask5[[#This Row],[CDR''s Weight]]))))</f>
        <v/>
      </c>
      <c r="K87" s="25">
        <f>VLOOKUP(METLTask5[[#This Row],[Commander''s Assessment]],Table222[],2,FALSE)*(1-(($I$82:$I$91-1)*(100/MAX($I$82:$I$91)/100)))</f>
        <v>0.19999999999999996</v>
      </c>
      <c r="L87" s="26"/>
      <c r="M87" s="25"/>
      <c r="N87" s="25"/>
      <c r="O87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87" s="43"/>
    </row>
    <row r="88" spans="5:16" hidden="1" outlineLevel="1" x14ac:dyDescent="0.3">
      <c r="E88" s="27" t="s">
        <v>24</v>
      </c>
      <c r="F88" s="33"/>
      <c r="G88" s="20" t="s">
        <v>1</v>
      </c>
      <c r="H88" s="35" t="str">
        <f>IF(ISBLANK(METLTask5[[#This Row],[CDR''s Weight]]),"",VLOOKUP(METLTask5[[#This Row],[Commander''s Assessment]],Table222[],2,FALSE)*(1-(METLTask5[CDR''s Weight]-1)*(100/MAX(METLTask5[CDR''s Weight])/100)))</f>
        <v/>
      </c>
      <c r="I88" s="28">
        <v>8</v>
      </c>
      <c r="J88" s="24" t="str">
        <f>IF(ISNUMBER(SEARCH("→",METLTask5[[#This Row],[METL Task 5]])),"",IF(G88=$A$5,$B$5*METLTask5[[#This Row],[CDR''s Weight]],IF(G88=$A$6,$B$6*METLTask5[[#This Row],[CDR''s Weight]],IF(G88=$A$7,$B$7*METLTask5[[#This Row],[CDR''s Weight]]))))</f>
        <v/>
      </c>
      <c r="K88" s="25">
        <f>VLOOKUP(METLTask5[[#This Row],[Commander''s Assessment]],Table222[],2,FALSE)*(1-(($I$82:$I$91-1)*(100/MAX($I$82:$I$91)/100)))</f>
        <v>0.29999999999999993</v>
      </c>
      <c r="L88" s="26"/>
      <c r="M88" s="25"/>
      <c r="N88" s="25"/>
      <c r="O88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88" s="43"/>
    </row>
    <row r="89" spans="5:16" hidden="1" outlineLevel="1" x14ac:dyDescent="0.3">
      <c r="E89" s="27" t="s">
        <v>24</v>
      </c>
      <c r="F89" s="33"/>
      <c r="G89" s="20" t="s">
        <v>1</v>
      </c>
      <c r="H89" s="35" t="str">
        <f>IF(ISBLANK(METLTask5[[#This Row],[CDR''s Weight]]),"",VLOOKUP(METLTask5[[#This Row],[Commander''s Assessment]],Table222[],2,FALSE)*(1-(METLTask5[CDR''s Weight]-1)*(100/MAX(METLTask5[CDR''s Weight])/100)))</f>
        <v/>
      </c>
      <c r="I89" s="28">
        <v>9</v>
      </c>
      <c r="J89" s="24" t="str">
        <f>IF(ISNUMBER(SEARCH("→",METLTask5[[#This Row],[METL Task 5]])),"",IF(G89=$A$5,$B$5*METLTask5[[#This Row],[CDR''s Weight]],IF(G89=$A$6,$B$6*METLTask5[[#This Row],[CDR''s Weight]],IF(G89=$A$7,$B$7*METLTask5[[#This Row],[CDR''s Weight]]))))</f>
        <v/>
      </c>
      <c r="K89" s="25">
        <f>VLOOKUP(METLTask5[[#This Row],[Commander''s Assessment]],Table222[],2,FALSE)*(1-(($I$82:$I$91-1)*(100/MAX($I$82:$I$91)/100)))</f>
        <v>0.19999999999999996</v>
      </c>
      <c r="L89" s="26"/>
      <c r="M89" s="25"/>
      <c r="N89" s="25"/>
      <c r="O89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89" s="43"/>
    </row>
    <row r="90" spans="5:16" hidden="1" outlineLevel="1" x14ac:dyDescent="0.3">
      <c r="E90" s="27" t="s">
        <v>24</v>
      </c>
      <c r="F90" s="33"/>
      <c r="G90" s="20" t="s">
        <v>3</v>
      </c>
      <c r="H90" s="35" t="str">
        <f>IF(ISBLANK(METLTask5[[#This Row],[CDR''s Weight]]),"",VLOOKUP(METLTask5[[#This Row],[Commander''s Assessment]],Table222[],2,FALSE)*(1-(METLTask5[CDR''s Weight]-1)*(100/MAX(METLTask5[CDR''s Weight])/100)))</f>
        <v/>
      </c>
      <c r="I90" s="28">
        <v>10</v>
      </c>
      <c r="J90" s="24" t="str">
        <f>IF(ISNUMBER(SEARCH("→",METLTask5[[#This Row],[METL Task 5]])),"",IF(G90=$A$5,$B$5*METLTask5[[#This Row],[CDR''s Weight]],IF(G90=$A$6,$B$6*METLTask5[[#This Row],[CDR''s Weight]],IF(G90=$A$7,$B$7*METLTask5[[#This Row],[CDR''s Weight]]))))</f>
        <v/>
      </c>
      <c r="K90" s="25">
        <f>VLOOKUP(METLTask5[[#This Row],[Commander''s Assessment]],Table222[],2,FALSE)*(1-(($I$82:$I$91-1)*(100/MAX($I$82:$I$91)/100)))</f>
        <v>9.999999999999998E-4</v>
      </c>
      <c r="L90" s="26"/>
      <c r="M90" s="25"/>
      <c r="N90" s="25"/>
      <c r="O90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90" s="43"/>
    </row>
    <row r="91" spans="5:16" hidden="1" outlineLevel="1" x14ac:dyDescent="0.3">
      <c r="E91" s="27" t="s">
        <v>24</v>
      </c>
      <c r="F91" s="31"/>
      <c r="G91" s="20" t="s">
        <v>3</v>
      </c>
      <c r="H91" s="35" t="str">
        <f>IF(ISBLANK(METLTask5[[#This Row],[CDR''s Weight]]),"",VLOOKUP(METLTask5[[#This Row],[Commander''s Assessment]],Table222[],2,FALSE)*(1-(METLTask5[CDR''s Weight]-1)*(100/MAX(METLTask5[CDR''s Weight])/100)))</f>
        <v/>
      </c>
      <c r="I91" s="29">
        <v>1</v>
      </c>
      <c r="J91" s="24" t="str">
        <f>IF(ISNUMBER(SEARCH("→",METLTask5[[#This Row],[METL Task 5]])),"",IF(G91=$A$5,$B$5*METLTask5[[#This Row],[CDR''s Weight]],IF(G91=$A$6,$B$6*METLTask5[[#This Row],[CDR''s Weight]],IF(G91=$A$7,$B$7*METLTask5[[#This Row],[CDR''s Weight]]))))</f>
        <v/>
      </c>
      <c r="K91" s="25">
        <f>VLOOKUP(METLTask5[[#This Row],[Commander''s Assessment]],Table222[],2,FALSE)*(1-(($I$82:$I$91-1)*(100/MAX($I$82:$I$91)/100)))</f>
        <v>0.01</v>
      </c>
      <c r="L91" s="26"/>
      <c r="M91" s="21"/>
      <c r="N91" s="21"/>
      <c r="O91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91" s="43"/>
    </row>
    <row r="92" spans="5:16" collapsed="1" x14ac:dyDescent="0.3">
      <c r="E92" s="22" t="s">
        <v>16</v>
      </c>
      <c r="F92" s="20">
        <v>9</v>
      </c>
      <c r="G92" s="20" t="s">
        <v>18</v>
      </c>
      <c r="H92" s="35">
        <f>IF(ISBLANK(METLTask5[[#This Row],[CDR''s Weight]]),"",VLOOKUP(METLTask5[[#This Row],[Commander''s Assessment]],Table222[],2,FALSE)*(1-(METLTask5[CDR''s Weight]-1)*(100/MAX(METLTask5[CDR''s Weight])/100)))</f>
        <v>0.19999999999999996</v>
      </c>
      <c r="I92" s="23"/>
      <c r="J92" s="24">
        <f>IF(ISNUMBER(SEARCH("→",METLTask5[[#This Row],[METL Task 5]])),"",IF(G92=$A$5,$B$5*METLTask5[[#This Row],[CDR''s Weight]],IF(G92=$A$6,$B$6*METLTask5[[#This Row],[CDR''s Weight]],IF(G92=$A$7,$B$7*METLTask5[[#This Row],[CDR''s Weight]]))))</f>
        <v>9</v>
      </c>
      <c r="K92" s="25" t="str">
        <f>IF(ISNUMBER(METLTask5[[#This Row],[Total]]),"",VLOOKUP(METLTask5[[#This Row],[Commander''s Assessment]],Table222[],2,FALSE)*(1-(($I$93:$I$102-1)*(100/MAX($I$93:$I$102)/100))))</f>
        <v/>
      </c>
      <c r="L92" s="26">
        <f>SUM(I93:I102)</f>
        <v>55</v>
      </c>
      <c r="M92" s="25">
        <f>SUM(K93:K102)*10</f>
        <v>37.61</v>
      </c>
      <c r="N92" s="25">
        <f>METLTask5[[#This Row],[New SB Total]]/METLTask5[[#This Row],[New SB Weight]]</f>
        <v>0.68381818181818177</v>
      </c>
      <c r="O92" s="2" t="str">
        <f>IF(ISBLANK(METLTask5[[#This Row],[calc]]),"",IF(METLTask5[[#This Row],[calc]]&gt;=0.66,$A$5,IF(AND(METLTask5[[#This Row],[calc]]&lt;0.66,METLTask5[[#This Row],[calc]]&gt;=0.33),$A$6,IF(METLTask5[[#This Row],[calc]]&lt;0.33,"U"))))</f>
        <v>T</v>
      </c>
      <c r="P92" s="43"/>
    </row>
    <row r="93" spans="5:16" hidden="1" outlineLevel="1" x14ac:dyDescent="0.3">
      <c r="E93" s="27" t="s">
        <v>33</v>
      </c>
      <c r="F93" s="33"/>
      <c r="G93" s="20" t="s">
        <v>2</v>
      </c>
      <c r="H93" s="35" t="str">
        <f>IF(ISBLANK(METLTask5[[#This Row],[CDR''s Weight]]),"",VLOOKUP(METLTask5[[#This Row],[Commander''s Assessment]],Table222[],2,FALSE)*(1-(METLTask5[CDR''s Weight]-1)*(100/MAX(METLTask5[CDR''s Weight])/100)))</f>
        <v/>
      </c>
      <c r="I93" s="28">
        <v>2</v>
      </c>
      <c r="J93" s="24" t="str">
        <f>IF(ISNUMBER(SEARCH("→",METLTask5[[#This Row],[METL Task 5]])),"",IF(G93=$A$5,$B$5*METLTask5[[#This Row],[CDR''s Weight]],IF(G93=$A$6,$B$6*METLTask5[[#This Row],[CDR''s Weight]],IF(G93=$A$7,$B$7*METLTask5[[#This Row],[CDR''s Weight]]))))</f>
        <v/>
      </c>
      <c r="K93" s="25">
        <f>VLOOKUP(METLTask5[[#This Row],[Commander''s Assessment]],Table222[],2,FALSE)*(1-(($I$93:$I$102-1)*(100/MAX($I$93:$I$102)/100)))</f>
        <v>0.45</v>
      </c>
      <c r="L93" s="26"/>
      <c r="M93" s="25"/>
      <c r="N93" s="25"/>
      <c r="O93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93" s="43"/>
    </row>
    <row r="94" spans="5:16" hidden="1" outlineLevel="1" x14ac:dyDescent="0.3">
      <c r="E94" s="27" t="s">
        <v>24</v>
      </c>
      <c r="F94" s="33"/>
      <c r="G94" s="20" t="s">
        <v>1</v>
      </c>
      <c r="H94" s="35" t="str">
        <f>IF(ISBLANK(METLTask5[[#This Row],[CDR''s Weight]]),"",VLOOKUP(METLTask5[[#This Row],[Commander''s Assessment]],Table222[],2,FALSE)*(1-(METLTask5[CDR''s Weight]-1)*(100/MAX(METLTask5[CDR''s Weight])/100)))</f>
        <v/>
      </c>
      <c r="I94" s="28">
        <v>3</v>
      </c>
      <c r="J94" s="24" t="str">
        <f>IF(ISNUMBER(SEARCH("→",METLTask5[[#This Row],[METL Task 5]])),"",IF(G94=$A$5,$B$5*METLTask5[[#This Row],[CDR''s Weight]],IF(G94=$A$6,$B$6*METLTask5[[#This Row],[CDR''s Weight]],IF(G94=$A$7,$B$7*METLTask5[[#This Row],[CDR''s Weight]]))))</f>
        <v/>
      </c>
      <c r="K94" s="25">
        <f>VLOOKUP(METLTask5[[#This Row],[Commander''s Assessment]],Table222[],2,FALSE)*(1-(($I$93:$I$102-1)*(100/MAX($I$93:$I$102)/100)))</f>
        <v>0.8</v>
      </c>
      <c r="L94" s="26"/>
      <c r="M94" s="25"/>
      <c r="N94" s="25"/>
      <c r="O94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94" s="43"/>
    </row>
    <row r="95" spans="5:16" hidden="1" outlineLevel="1" x14ac:dyDescent="0.3">
      <c r="E95" s="27" t="s">
        <v>24</v>
      </c>
      <c r="F95" s="31"/>
      <c r="G95" s="20" t="s">
        <v>1</v>
      </c>
      <c r="H95" s="35" t="str">
        <f>IF(ISBLANK(METLTask5[[#This Row],[CDR''s Weight]]),"",VLOOKUP(METLTask5[[#This Row],[Commander''s Assessment]],Table222[],2,FALSE)*(1-(METLTask5[CDR''s Weight]-1)*(100/MAX(METLTask5[CDR''s Weight])/100)))</f>
        <v/>
      </c>
      <c r="I95" s="28">
        <v>4</v>
      </c>
      <c r="J95" s="24" t="str">
        <f>IF(ISNUMBER(SEARCH("→",METLTask5[[#This Row],[METL Task 5]])),"",IF(G95=$A$5,$B$5*METLTask5[[#This Row],[CDR''s Weight]],IF(G95=$A$6,$B$6*METLTask5[[#This Row],[CDR''s Weight]],IF(G95=$A$7,$B$7*METLTask5[[#This Row],[CDR''s Weight]]))))</f>
        <v/>
      </c>
      <c r="K95" s="25">
        <f>VLOOKUP(METLTask5[[#This Row],[Commander''s Assessment]],Table222[],2,FALSE)*(1-(($I$93:$I$102-1)*(100/MAX($I$93:$I$102)/100)))</f>
        <v>0.7</v>
      </c>
      <c r="L95" s="26"/>
      <c r="M95" s="25"/>
      <c r="N95" s="25"/>
      <c r="O95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95" s="43"/>
    </row>
    <row r="96" spans="5:16" hidden="1" outlineLevel="1" x14ac:dyDescent="0.3">
      <c r="E96" s="27" t="s">
        <v>24</v>
      </c>
      <c r="F96" s="33"/>
      <c r="G96" s="20" t="s">
        <v>1</v>
      </c>
      <c r="H96" s="35" t="str">
        <f>IF(ISBLANK(METLTask5[[#This Row],[CDR''s Weight]]),"",VLOOKUP(METLTask5[[#This Row],[Commander''s Assessment]],Table222[],2,FALSE)*(1-(METLTask5[CDR''s Weight]-1)*(100/MAX(METLTask5[CDR''s Weight])/100)))</f>
        <v/>
      </c>
      <c r="I96" s="28">
        <v>5</v>
      </c>
      <c r="J96" s="24" t="str">
        <f>IF(ISNUMBER(SEARCH("→",METLTask5[[#This Row],[METL Task 5]])),"",IF(G96=$A$5,$B$5*METLTask5[[#This Row],[CDR''s Weight]],IF(G96=$A$6,$B$6*METLTask5[[#This Row],[CDR''s Weight]],IF(G96=$A$7,$B$7*METLTask5[[#This Row],[CDR''s Weight]]))))</f>
        <v/>
      </c>
      <c r="K96" s="25">
        <f>VLOOKUP(METLTask5[[#This Row],[Commander''s Assessment]],Table222[],2,FALSE)*(1-(($I$93:$I$102-1)*(100/MAX($I$93:$I$102)/100)))</f>
        <v>0.6</v>
      </c>
      <c r="L96" s="26"/>
      <c r="M96" s="25"/>
      <c r="N96" s="25"/>
      <c r="O96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96" s="43"/>
    </row>
    <row r="97" spans="5:16" hidden="1" outlineLevel="1" x14ac:dyDescent="0.3">
      <c r="E97" s="27" t="s">
        <v>24</v>
      </c>
      <c r="F97" s="33"/>
      <c r="G97" s="20" t="s">
        <v>1</v>
      </c>
      <c r="H97" s="35" t="str">
        <f>IF(ISBLANK(METLTask5[[#This Row],[CDR''s Weight]]),"",VLOOKUP(METLTask5[[#This Row],[Commander''s Assessment]],Table222[],2,FALSE)*(1-(METLTask5[CDR''s Weight]-1)*(100/MAX(METLTask5[CDR''s Weight])/100)))</f>
        <v/>
      </c>
      <c r="I97" s="28">
        <v>6</v>
      </c>
      <c r="J97" s="24" t="str">
        <f>IF(ISNUMBER(SEARCH("→",METLTask5[[#This Row],[METL Task 5]])),"",IF(G97=$A$5,$B$5*METLTask5[[#This Row],[CDR''s Weight]],IF(G97=$A$6,$B$6*METLTask5[[#This Row],[CDR''s Weight]],IF(G97=$A$7,$B$7*METLTask5[[#This Row],[CDR''s Weight]]))))</f>
        <v/>
      </c>
      <c r="K97" s="25">
        <f>VLOOKUP(METLTask5[[#This Row],[Commander''s Assessment]],Table222[],2,FALSE)*(1-(($I$93:$I$102-1)*(100/MAX($I$93:$I$102)/100)))</f>
        <v>0.5</v>
      </c>
      <c r="L97" s="26"/>
      <c r="M97" s="25"/>
      <c r="N97" s="25"/>
      <c r="O97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97" s="43"/>
    </row>
    <row r="98" spans="5:16" hidden="1" outlineLevel="1" x14ac:dyDescent="0.3">
      <c r="E98" s="27" t="s">
        <v>24</v>
      </c>
      <c r="F98" s="33"/>
      <c r="G98" s="20" t="s">
        <v>2</v>
      </c>
      <c r="H98" s="35" t="str">
        <f>IF(ISBLANK(METLTask5[[#This Row],[CDR''s Weight]]),"",VLOOKUP(METLTask5[[#This Row],[Commander''s Assessment]],Table222[],2,FALSE)*(1-(METLTask5[CDR''s Weight]-1)*(100/MAX(METLTask5[CDR''s Weight])/100)))</f>
        <v/>
      </c>
      <c r="I98" s="28">
        <v>7</v>
      </c>
      <c r="J98" s="24" t="str">
        <f>IF(ISNUMBER(SEARCH("→",METLTask5[[#This Row],[METL Task 5]])),"",IF(G98=$A$5,$B$5*METLTask5[[#This Row],[CDR''s Weight]],IF(G98=$A$6,$B$6*METLTask5[[#This Row],[CDR''s Weight]],IF(G98=$A$7,$B$7*METLTask5[[#This Row],[CDR''s Weight]]))))</f>
        <v/>
      </c>
      <c r="K98" s="25">
        <f>VLOOKUP(METLTask5[[#This Row],[Commander''s Assessment]],Table222[],2,FALSE)*(1-(($I$93:$I$102-1)*(100/MAX($I$93:$I$102)/100)))</f>
        <v>0.19999999999999996</v>
      </c>
      <c r="L98" s="26"/>
      <c r="M98" s="25"/>
      <c r="N98" s="25"/>
      <c r="O98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98" s="43"/>
    </row>
    <row r="99" spans="5:16" hidden="1" outlineLevel="1" x14ac:dyDescent="0.3">
      <c r="E99" s="27" t="s">
        <v>24</v>
      </c>
      <c r="F99" s="33"/>
      <c r="G99" s="20" t="s">
        <v>1</v>
      </c>
      <c r="H99" s="35" t="str">
        <f>IF(ISBLANK(METLTask5[[#This Row],[CDR''s Weight]]),"",VLOOKUP(METLTask5[[#This Row],[Commander''s Assessment]],Table222[],2,FALSE)*(1-(METLTask5[CDR''s Weight]-1)*(100/MAX(METLTask5[CDR''s Weight])/100)))</f>
        <v/>
      </c>
      <c r="I99" s="28">
        <v>8</v>
      </c>
      <c r="J99" s="24" t="str">
        <f>IF(ISNUMBER(SEARCH("→",METLTask5[[#This Row],[METL Task 5]])),"",IF(G99=$A$5,$B$5*METLTask5[[#This Row],[CDR''s Weight]],IF(G99=$A$6,$B$6*METLTask5[[#This Row],[CDR''s Weight]],IF(G99=$A$7,$B$7*METLTask5[[#This Row],[CDR''s Weight]]))))</f>
        <v/>
      </c>
      <c r="K99" s="25">
        <f>VLOOKUP(METLTask5[[#This Row],[Commander''s Assessment]],Table222[],2,FALSE)*(1-(($I$93:$I$102-1)*(100/MAX($I$93:$I$102)/100)))</f>
        <v>0.29999999999999993</v>
      </c>
      <c r="L99" s="26"/>
      <c r="M99" s="25"/>
      <c r="N99" s="25"/>
      <c r="O99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99" s="43"/>
    </row>
    <row r="100" spans="5:16" hidden="1" outlineLevel="1" x14ac:dyDescent="0.3">
      <c r="E100" s="27" t="s">
        <v>24</v>
      </c>
      <c r="F100" s="33"/>
      <c r="G100" s="20" t="s">
        <v>1</v>
      </c>
      <c r="H100" s="35" t="str">
        <f>IF(ISBLANK(METLTask5[[#This Row],[CDR''s Weight]]),"",VLOOKUP(METLTask5[[#This Row],[Commander''s Assessment]],Table222[],2,FALSE)*(1-(METLTask5[CDR''s Weight]-1)*(100/MAX(METLTask5[CDR''s Weight])/100)))</f>
        <v/>
      </c>
      <c r="I100" s="28">
        <v>9</v>
      </c>
      <c r="J100" s="24" t="str">
        <f>IF(ISNUMBER(SEARCH("→",METLTask5[[#This Row],[METL Task 5]])),"",IF(G100=$A$5,$B$5*METLTask5[[#This Row],[CDR''s Weight]],IF(G100=$A$6,$B$6*METLTask5[[#This Row],[CDR''s Weight]],IF(G100=$A$7,$B$7*METLTask5[[#This Row],[CDR''s Weight]]))))</f>
        <v/>
      </c>
      <c r="K100" s="25">
        <f>VLOOKUP(METLTask5[[#This Row],[Commander''s Assessment]],Table222[],2,FALSE)*(1-(($I$93:$I$102-1)*(100/MAX($I$93:$I$102)/100)))</f>
        <v>0.19999999999999996</v>
      </c>
      <c r="L100" s="26"/>
      <c r="M100" s="25"/>
      <c r="N100" s="25"/>
      <c r="O100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00" s="43"/>
    </row>
    <row r="101" spans="5:16" hidden="1" outlineLevel="1" x14ac:dyDescent="0.3">
      <c r="E101" s="27" t="s">
        <v>24</v>
      </c>
      <c r="F101" s="33"/>
      <c r="G101" s="20" t="s">
        <v>3</v>
      </c>
      <c r="H101" s="35" t="str">
        <f>IF(ISBLANK(METLTask5[[#This Row],[CDR''s Weight]]),"",VLOOKUP(METLTask5[[#This Row],[Commander''s Assessment]],Table222[],2,FALSE)*(1-(METLTask5[CDR''s Weight]-1)*(100/MAX(METLTask5[CDR''s Weight])/100)))</f>
        <v/>
      </c>
      <c r="I101" s="28">
        <v>10</v>
      </c>
      <c r="J101" s="24" t="str">
        <f>IF(ISNUMBER(SEARCH("→",METLTask5[[#This Row],[METL Task 5]])),"",IF(G101=$A$5,$B$5*METLTask5[[#This Row],[CDR''s Weight]],IF(G101=$A$6,$B$6*METLTask5[[#This Row],[CDR''s Weight]],IF(G101=$A$7,$B$7*METLTask5[[#This Row],[CDR''s Weight]]))))</f>
        <v/>
      </c>
      <c r="K101" s="25">
        <f>VLOOKUP(METLTask5[[#This Row],[Commander''s Assessment]],Table222[],2,FALSE)*(1-(($I$93:$I$102-1)*(100/MAX($I$93:$I$102)/100)))</f>
        <v>9.999999999999998E-4</v>
      </c>
      <c r="L101" s="26"/>
      <c r="M101" s="25"/>
      <c r="N101" s="25"/>
      <c r="O101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01" s="43"/>
    </row>
    <row r="102" spans="5:16" hidden="1" outlineLevel="1" x14ac:dyDescent="0.3">
      <c r="E102" s="27" t="s">
        <v>24</v>
      </c>
      <c r="F102" s="31"/>
      <c r="G102" s="20" t="s">
        <v>3</v>
      </c>
      <c r="H102" s="35" t="str">
        <f>IF(ISBLANK(METLTask5[[#This Row],[CDR''s Weight]]),"",VLOOKUP(METLTask5[[#This Row],[Commander''s Assessment]],Table222[],2,FALSE)*(1-(METLTask5[CDR''s Weight]-1)*(100/MAX(METLTask5[CDR''s Weight])/100)))</f>
        <v/>
      </c>
      <c r="I102" s="29">
        <v>1</v>
      </c>
      <c r="J102" s="24" t="str">
        <f>IF(ISNUMBER(SEARCH("→",METLTask5[[#This Row],[METL Task 5]])),"",IF(G102=$A$5,$B$5*METLTask5[[#This Row],[CDR''s Weight]],IF(G102=$A$6,$B$6*METLTask5[[#This Row],[CDR''s Weight]],IF(G102=$A$7,$B$7*METLTask5[[#This Row],[CDR''s Weight]]))))</f>
        <v/>
      </c>
      <c r="K102" s="25">
        <f>VLOOKUP(METLTask5[[#This Row],[Commander''s Assessment]],Table222[],2,FALSE)*(1-(($I$93:$I$102-1)*(100/MAX($I$93:$I$102)/100)))</f>
        <v>0.01</v>
      </c>
      <c r="L102" s="26"/>
      <c r="M102" s="21"/>
      <c r="N102" s="21"/>
      <c r="O102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02" s="43"/>
    </row>
    <row r="103" spans="5:16" collapsed="1" x14ac:dyDescent="0.3">
      <c r="E103" s="22" t="s">
        <v>16</v>
      </c>
      <c r="F103" s="20">
        <v>10</v>
      </c>
      <c r="G103" s="20" t="s">
        <v>18</v>
      </c>
      <c r="H103" s="35">
        <f>IF(ISBLANK(METLTask5[[#This Row],[CDR''s Weight]]),"",VLOOKUP(METLTask5[[#This Row],[Commander''s Assessment]],Table222[],2,FALSE)*(1-(METLTask5[CDR''s Weight]-1)*(100/MAX(METLTask5[CDR''s Weight])/100)))</f>
        <v>9.9999999999999978E-2</v>
      </c>
      <c r="I103" s="23"/>
      <c r="J103" s="24">
        <f>IF(ISNUMBER(SEARCH("→",METLTask5[[#This Row],[METL Task 5]])),"",IF(G103=$A$5,$B$5*METLTask5[[#This Row],[CDR''s Weight]],IF(G103=$A$6,$B$6*METLTask5[[#This Row],[CDR''s Weight]],IF(G103=$A$7,$B$7*METLTask5[[#This Row],[CDR''s Weight]]))))</f>
        <v>10</v>
      </c>
      <c r="K103" s="25" t="str">
        <f>IF(ISNUMBER(METLTask5[[#This Row],[Total]]),"",VLOOKUP(METLTask5[[#This Row],[Commander''s Assessment]],Table222[],2,FALSE)*(1-(($I$104:$I$113)*(100/MAX($I$104:$I$113)/100))))</f>
        <v/>
      </c>
      <c r="L103" s="26">
        <f>SUM(I104:I113)</f>
        <v>55</v>
      </c>
      <c r="M103" s="25">
        <f>SUM(K104:K113)*10</f>
        <v>37.61</v>
      </c>
      <c r="N103" s="25">
        <f>METLTask5[[#This Row],[New SB Total]]/METLTask5[[#This Row],[New SB Weight]]</f>
        <v>0.68381818181818177</v>
      </c>
      <c r="O103" s="2" t="str">
        <f>IF(ISBLANK(METLTask5[[#This Row],[calc]]),"",IF(METLTask5[[#This Row],[calc]]&gt;=0.66,$A$5,IF(AND(METLTask5[[#This Row],[calc]]&lt;0.66,METLTask5[[#This Row],[calc]]&gt;=0.33),$A$6,IF(METLTask5[[#This Row],[calc]]&lt;0.33,"U"))))</f>
        <v>T</v>
      </c>
      <c r="P103" s="43"/>
    </row>
    <row r="104" spans="5:16" hidden="1" outlineLevel="1" x14ac:dyDescent="0.3">
      <c r="E104" s="27" t="s">
        <v>33</v>
      </c>
      <c r="F104" s="33"/>
      <c r="G104" s="20" t="s">
        <v>2</v>
      </c>
      <c r="H104" s="35" t="str">
        <f>IF(ISBLANK(METLTask5[[#This Row],[CDR''s Weight]]),"",VLOOKUP(METLTask5[[#This Row],[Commander''s Assessment]],Table222[],2,FALSE)*(1-(METLTask5[CDR''s Weight]-1)*(100/MAX(METLTask5[CDR''s Weight])/100)))</f>
        <v/>
      </c>
      <c r="I104" s="28">
        <v>2</v>
      </c>
      <c r="J104" s="24" t="str">
        <f>IF(ISNUMBER(SEARCH("→",METLTask5[[#This Row],[METL Task 5]])),"",IF(G104=$A$5,$B$5*METLTask5[[#This Row],[CDR''s Weight]],IF(G104=$A$6,$B$6*METLTask5[[#This Row],[CDR''s Weight]],IF(G104=$A$7,$B$7*METLTask5[[#This Row],[CDR''s Weight]]))))</f>
        <v/>
      </c>
      <c r="K104" s="25">
        <f>VLOOKUP(METLTask5[[#This Row],[Commander''s Assessment]],Table222[],2,FALSE)*(1-(($I$104:$I$113-1)*(100/MAX($I$104:$I$113)/100)))</f>
        <v>0.45</v>
      </c>
      <c r="L104" s="26"/>
      <c r="M104" s="25"/>
      <c r="N104" s="25"/>
      <c r="O104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04" s="41"/>
    </row>
    <row r="105" spans="5:16" hidden="1" outlineLevel="1" x14ac:dyDescent="0.3">
      <c r="E105" s="27" t="s">
        <v>24</v>
      </c>
      <c r="F105" s="33"/>
      <c r="G105" s="20" t="s">
        <v>1</v>
      </c>
      <c r="H105" s="35" t="str">
        <f>IF(ISBLANK(METLTask5[[#This Row],[CDR''s Weight]]),"",VLOOKUP(METLTask5[[#This Row],[Commander''s Assessment]],Table222[],2,FALSE)*(1-(METLTask5[CDR''s Weight]-1)*(100/MAX(METLTask5[CDR''s Weight])/100)))</f>
        <v/>
      </c>
      <c r="I105" s="28">
        <v>3</v>
      </c>
      <c r="J105" s="24" t="str">
        <f>IF(ISNUMBER(SEARCH("→",METLTask5[[#This Row],[METL Task 5]])),"",IF(G105=$A$5,$B$5*METLTask5[[#This Row],[CDR''s Weight]],IF(G105=$A$6,$B$6*METLTask5[[#This Row],[CDR''s Weight]],IF(G105=$A$7,$B$7*METLTask5[[#This Row],[CDR''s Weight]]))))</f>
        <v/>
      </c>
      <c r="K105" s="25">
        <f>VLOOKUP(METLTask5[[#This Row],[Commander''s Assessment]],Table222[],2,FALSE)*(1-(($I$104:$I$113-1)*(100/MAX($I$104:$I$113)/100)))</f>
        <v>0.8</v>
      </c>
      <c r="L105" s="26"/>
      <c r="M105" s="25"/>
      <c r="N105" s="25"/>
      <c r="O105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05" s="41"/>
    </row>
    <row r="106" spans="5:16" hidden="1" outlineLevel="1" x14ac:dyDescent="0.3">
      <c r="E106" s="27" t="s">
        <v>24</v>
      </c>
      <c r="F106" s="31"/>
      <c r="G106" s="20" t="s">
        <v>1</v>
      </c>
      <c r="H106" s="35" t="str">
        <f>IF(ISBLANK(METLTask5[[#This Row],[CDR''s Weight]]),"",VLOOKUP(METLTask5[[#This Row],[Commander''s Assessment]],Table222[],2,FALSE)*(1-(METLTask5[CDR''s Weight]-1)*(100/MAX(METLTask5[CDR''s Weight])/100)))</f>
        <v/>
      </c>
      <c r="I106" s="28">
        <v>4</v>
      </c>
      <c r="J106" s="24" t="str">
        <f>IF(ISNUMBER(SEARCH("→",METLTask5[[#This Row],[METL Task 5]])),"",IF(G106=$A$5,$B$5*METLTask5[[#This Row],[CDR''s Weight]],IF(G106=$A$6,$B$6*METLTask5[[#This Row],[CDR''s Weight]],IF(G106=$A$7,$B$7*METLTask5[[#This Row],[CDR''s Weight]]))))</f>
        <v/>
      </c>
      <c r="K106" s="25">
        <f>VLOOKUP(METLTask5[[#This Row],[Commander''s Assessment]],Table222[],2,FALSE)*(1-(($I$104:$I$113-1)*(100/MAX($I$104:$I$113)/100)))</f>
        <v>0.7</v>
      </c>
      <c r="L106" s="26"/>
      <c r="M106" s="25"/>
      <c r="N106" s="25"/>
      <c r="O106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06" s="41"/>
    </row>
    <row r="107" spans="5:16" hidden="1" outlineLevel="1" x14ac:dyDescent="0.3">
      <c r="E107" s="27" t="s">
        <v>24</v>
      </c>
      <c r="F107" s="33"/>
      <c r="G107" s="20" t="s">
        <v>1</v>
      </c>
      <c r="H107" s="35" t="str">
        <f>IF(ISBLANK(METLTask5[[#This Row],[CDR''s Weight]]),"",VLOOKUP(METLTask5[[#This Row],[Commander''s Assessment]],Table222[],2,FALSE)*(1-(METLTask5[CDR''s Weight]-1)*(100/MAX(METLTask5[CDR''s Weight])/100)))</f>
        <v/>
      </c>
      <c r="I107" s="28">
        <v>5</v>
      </c>
      <c r="J107" s="24" t="str">
        <f>IF(ISNUMBER(SEARCH("→",METLTask5[[#This Row],[METL Task 5]])),"",IF(G107=$A$5,$B$5*METLTask5[[#This Row],[CDR''s Weight]],IF(G107=$A$6,$B$6*METLTask5[[#This Row],[CDR''s Weight]],IF(G107=$A$7,$B$7*METLTask5[[#This Row],[CDR''s Weight]]))))</f>
        <v/>
      </c>
      <c r="K107" s="25">
        <f>VLOOKUP(METLTask5[[#This Row],[Commander''s Assessment]],Table222[],2,FALSE)*(1-(($I$104:$I$113-1)*(100/MAX($I$104:$I$113)/100)))</f>
        <v>0.6</v>
      </c>
      <c r="L107" s="26"/>
      <c r="M107" s="25"/>
      <c r="N107" s="25"/>
      <c r="O107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07" s="41"/>
    </row>
    <row r="108" spans="5:16" hidden="1" outlineLevel="1" x14ac:dyDescent="0.3">
      <c r="E108" s="27" t="s">
        <v>24</v>
      </c>
      <c r="F108" s="33"/>
      <c r="G108" s="20" t="s">
        <v>1</v>
      </c>
      <c r="H108" s="35" t="str">
        <f>IF(ISBLANK(METLTask5[[#This Row],[CDR''s Weight]]),"",VLOOKUP(METLTask5[[#This Row],[Commander''s Assessment]],Table222[],2,FALSE)*(1-(METLTask5[CDR''s Weight]-1)*(100/MAX(METLTask5[CDR''s Weight])/100)))</f>
        <v/>
      </c>
      <c r="I108" s="28">
        <v>6</v>
      </c>
      <c r="J108" s="24" t="str">
        <f>IF(ISNUMBER(SEARCH("→",METLTask5[[#This Row],[METL Task 5]])),"",IF(G108=$A$5,$B$5*METLTask5[[#This Row],[CDR''s Weight]],IF(G108=$A$6,$B$6*METLTask5[[#This Row],[CDR''s Weight]],IF(G108=$A$7,$B$7*METLTask5[[#This Row],[CDR''s Weight]]))))</f>
        <v/>
      </c>
      <c r="K108" s="25">
        <f>VLOOKUP(METLTask5[[#This Row],[Commander''s Assessment]],Table222[],2,FALSE)*(1-(($I$104:$I$113-1)*(100/MAX($I$104:$I$113)/100)))</f>
        <v>0.5</v>
      </c>
      <c r="L108" s="26"/>
      <c r="M108" s="25"/>
      <c r="N108" s="25"/>
      <c r="O108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08" s="41"/>
    </row>
    <row r="109" spans="5:16" hidden="1" outlineLevel="1" x14ac:dyDescent="0.3">
      <c r="E109" s="27" t="s">
        <v>24</v>
      </c>
      <c r="F109" s="33"/>
      <c r="G109" s="20" t="s">
        <v>2</v>
      </c>
      <c r="H109" s="35" t="str">
        <f>IF(ISBLANK(METLTask5[[#This Row],[CDR''s Weight]]),"",VLOOKUP(METLTask5[[#This Row],[Commander''s Assessment]],Table222[],2,FALSE)*(1-(METLTask5[CDR''s Weight]-1)*(100/MAX(METLTask5[CDR''s Weight])/100)))</f>
        <v/>
      </c>
      <c r="I109" s="28">
        <v>7</v>
      </c>
      <c r="J109" s="24" t="str">
        <f>IF(ISNUMBER(SEARCH("→",METLTask5[[#This Row],[METL Task 5]])),"",IF(G109=$A$5,$B$5*METLTask5[[#This Row],[CDR''s Weight]],IF(G109=$A$6,$B$6*METLTask5[[#This Row],[CDR''s Weight]],IF(G109=$A$7,$B$7*METLTask5[[#This Row],[CDR''s Weight]]))))</f>
        <v/>
      </c>
      <c r="K109" s="25">
        <f>VLOOKUP(METLTask5[[#This Row],[Commander''s Assessment]],Table222[],2,FALSE)*(1-(($I$104:$I$113-1)*(100/MAX($I$104:$I$113)/100)))</f>
        <v>0.19999999999999996</v>
      </c>
      <c r="L109" s="26"/>
      <c r="M109" s="25"/>
      <c r="N109" s="25"/>
      <c r="O109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09" s="41"/>
    </row>
    <row r="110" spans="5:16" hidden="1" outlineLevel="1" x14ac:dyDescent="0.3">
      <c r="E110" s="27" t="s">
        <v>24</v>
      </c>
      <c r="F110" s="33"/>
      <c r="G110" s="20" t="s">
        <v>1</v>
      </c>
      <c r="H110" s="35" t="str">
        <f>IF(ISBLANK(METLTask5[[#This Row],[CDR''s Weight]]),"",VLOOKUP(METLTask5[[#This Row],[Commander''s Assessment]],Table222[],2,FALSE)*(1-(METLTask5[CDR''s Weight]-1)*(100/MAX(METLTask5[CDR''s Weight])/100)))</f>
        <v/>
      </c>
      <c r="I110" s="28">
        <v>8</v>
      </c>
      <c r="J110" s="24" t="str">
        <f>IF(ISNUMBER(SEARCH("→",METLTask5[[#This Row],[METL Task 5]])),"",IF(G110=$A$5,$B$5*METLTask5[[#This Row],[CDR''s Weight]],IF(G110=$A$6,$B$6*METLTask5[[#This Row],[CDR''s Weight]],IF(G110=$A$7,$B$7*METLTask5[[#This Row],[CDR''s Weight]]))))</f>
        <v/>
      </c>
      <c r="K110" s="25">
        <f>VLOOKUP(METLTask5[[#This Row],[Commander''s Assessment]],Table222[],2,FALSE)*(1-(($I$104:$I$113-1)*(100/MAX($I$104:$I$113)/100)))</f>
        <v>0.29999999999999993</v>
      </c>
      <c r="L110" s="26"/>
      <c r="M110" s="25"/>
      <c r="N110" s="25"/>
      <c r="O110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10" s="41"/>
    </row>
    <row r="111" spans="5:16" hidden="1" outlineLevel="1" x14ac:dyDescent="0.3">
      <c r="E111" s="27" t="s">
        <v>24</v>
      </c>
      <c r="F111" s="33"/>
      <c r="G111" s="20" t="s">
        <v>1</v>
      </c>
      <c r="H111" s="35" t="str">
        <f>IF(ISBLANK(METLTask5[[#This Row],[CDR''s Weight]]),"",VLOOKUP(METLTask5[[#This Row],[Commander''s Assessment]],Table222[],2,FALSE)*(1-(METLTask5[CDR''s Weight]-1)*(100/MAX(METLTask5[CDR''s Weight])/100)))</f>
        <v/>
      </c>
      <c r="I111" s="28">
        <v>9</v>
      </c>
      <c r="J111" s="24" t="str">
        <f>IF(ISNUMBER(SEARCH("→",METLTask5[[#This Row],[METL Task 5]])),"",IF(G111=$A$5,$B$5*METLTask5[[#This Row],[CDR''s Weight]],IF(G111=$A$6,$B$6*METLTask5[[#This Row],[CDR''s Weight]],IF(G111=$A$7,$B$7*METLTask5[[#This Row],[CDR''s Weight]]))))</f>
        <v/>
      </c>
      <c r="K111" s="25">
        <f>VLOOKUP(METLTask5[[#This Row],[Commander''s Assessment]],Table222[],2,FALSE)*(1-(($I$104:$I$113-1)*(100/MAX($I$104:$I$113)/100)))</f>
        <v>0.19999999999999996</v>
      </c>
      <c r="L111" s="26"/>
      <c r="M111" s="25"/>
      <c r="N111" s="25"/>
      <c r="O111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11" s="41"/>
    </row>
    <row r="112" spans="5:16" hidden="1" outlineLevel="1" x14ac:dyDescent="0.3">
      <c r="E112" s="27" t="s">
        <v>24</v>
      </c>
      <c r="F112" s="33"/>
      <c r="G112" s="20" t="s">
        <v>3</v>
      </c>
      <c r="H112" s="35" t="str">
        <f>IF(ISBLANK(METLTask5[[#This Row],[CDR''s Weight]]),"",VLOOKUP(METLTask5[[#This Row],[Commander''s Assessment]],Table222[],2,FALSE)*(1-(METLTask5[CDR''s Weight]-1)*(100/MAX(METLTask5[CDR''s Weight])/100)))</f>
        <v/>
      </c>
      <c r="I112" s="28">
        <v>10</v>
      </c>
      <c r="J112" s="24" t="str">
        <f>IF(ISNUMBER(SEARCH("→",METLTask5[[#This Row],[METL Task 5]])),"",IF(G112=$A$5,$B$5*METLTask5[[#This Row],[CDR''s Weight]],IF(G112=$A$6,$B$6*METLTask5[[#This Row],[CDR''s Weight]],IF(G112=$A$7,$B$7*METLTask5[[#This Row],[CDR''s Weight]]))))</f>
        <v/>
      </c>
      <c r="K112" s="25">
        <f>VLOOKUP(METLTask5[[#This Row],[Commander''s Assessment]],Table222[],2,FALSE)*(1-(($I$104:$I$113-1)*(100/MAX($I$104:$I$113)/100)))</f>
        <v>9.999999999999998E-4</v>
      </c>
      <c r="L112" s="26"/>
      <c r="M112" s="25"/>
      <c r="N112" s="25"/>
      <c r="O112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12" s="41"/>
    </row>
    <row r="113" spans="5:16" hidden="1" outlineLevel="1" x14ac:dyDescent="0.3">
      <c r="E113" s="27" t="s">
        <v>24</v>
      </c>
      <c r="F113" s="31"/>
      <c r="G113" s="20" t="s">
        <v>3</v>
      </c>
      <c r="H113" s="35" t="str">
        <f>IF(ISBLANK(METLTask5[[#This Row],[CDR''s Weight]]),"",VLOOKUP(METLTask5[[#This Row],[Commander''s Assessment]],Table222[],2,FALSE)*(1-(METLTask5[CDR''s Weight]-1)*(100/MAX(METLTask5[CDR''s Weight])/100)))</f>
        <v/>
      </c>
      <c r="I113" s="29">
        <v>1</v>
      </c>
      <c r="J113" s="24" t="str">
        <f>IF(ISNUMBER(SEARCH("→",METLTask5[[#This Row],[METL Task 5]])),"",IF(G113=$A$5,$B$5*METLTask5[[#This Row],[CDR''s Weight]],IF(G113=$A$6,$B$6*METLTask5[[#This Row],[CDR''s Weight]],IF(G113=$A$7,$B$7*METLTask5[[#This Row],[CDR''s Weight]]))))</f>
        <v/>
      </c>
      <c r="K113" s="25">
        <f>VLOOKUP(METLTask5[[#This Row],[Commander''s Assessment]],Table222[],2,FALSE)*(1-(($I$104:$I$113-1)*(100/MAX($I$104:$I$113)/100)))</f>
        <v>0.01</v>
      </c>
      <c r="L113" s="26"/>
      <c r="M113" s="21"/>
      <c r="N113" s="21"/>
      <c r="O113" s="18" t="str">
        <f>IF(ISBLANK(METLTask5[[#This Row],[calc]]),"",IF(METLTask5[[#This Row],[calc]]&gt;=0.66,$A$5,IF(AND(METLTask5[[#This Row],[calc]]&lt;0.66,METLTask5[[#This Row],[calc]]&gt;=0.33),$A$6,IF(METLTask5[[#This Row],[calc]]&lt;0.33,"U"))))</f>
        <v/>
      </c>
      <c r="P113" s="41"/>
    </row>
    <row r="114" spans="5:16" collapsed="1" x14ac:dyDescent="0.3">
      <c r="E114" s="3" t="s">
        <v>5</v>
      </c>
      <c r="F114" s="4">
        <f>SUBTOTAL(109,METLTask5[CDR''s Weight])</f>
        <v>55</v>
      </c>
      <c r="G114" s="4"/>
      <c r="H114" s="36"/>
      <c r="I114" s="5"/>
      <c r="J114" s="5">
        <f>SUBTOTAL(109,METLTask5[Total])</f>
        <v>44.59</v>
      </c>
      <c r="K114" s="6">
        <f>METLTask5[[#Totals],[Total]]/METLTask5[[#Totals],[CDR''s Weight]]</f>
        <v>0.81072727272727274</v>
      </c>
      <c r="L114" s="3"/>
      <c r="M114" s="3"/>
      <c r="N114" s="3"/>
      <c r="O114" s="3"/>
      <c r="P114" s="40"/>
    </row>
  </sheetData>
  <conditionalFormatting sqref="O15 D3 G4:H15 O4">
    <cfRule type="cellIs" dxfId="80" priority="52" operator="equal">
      <formula>"u"</formula>
    </cfRule>
    <cfRule type="cellIs" dxfId="79" priority="53" operator="equal">
      <formula>"T"</formula>
    </cfRule>
    <cfRule type="cellIs" dxfId="78" priority="54" operator="equal">
      <formula>"P"</formula>
    </cfRule>
  </conditionalFormatting>
  <conditionalFormatting sqref="G16:H25">
    <cfRule type="cellIs" dxfId="77" priority="49" operator="equal">
      <formula>"u"</formula>
    </cfRule>
    <cfRule type="cellIs" dxfId="76" priority="50" operator="equal">
      <formula>"T"</formula>
    </cfRule>
    <cfRule type="cellIs" dxfId="75" priority="51" operator="equal">
      <formula>"P"</formula>
    </cfRule>
  </conditionalFormatting>
  <conditionalFormatting sqref="O26 G26:H26">
    <cfRule type="cellIs" dxfId="74" priority="46" operator="equal">
      <formula>"u"</formula>
    </cfRule>
    <cfRule type="cellIs" dxfId="73" priority="47" operator="equal">
      <formula>"T"</formula>
    </cfRule>
    <cfRule type="cellIs" dxfId="72" priority="48" operator="equal">
      <formula>"P"</formula>
    </cfRule>
  </conditionalFormatting>
  <conditionalFormatting sqref="G27:H36">
    <cfRule type="cellIs" dxfId="71" priority="43" operator="equal">
      <formula>"u"</formula>
    </cfRule>
    <cfRule type="cellIs" dxfId="70" priority="44" operator="equal">
      <formula>"T"</formula>
    </cfRule>
    <cfRule type="cellIs" dxfId="69" priority="45" operator="equal">
      <formula>"P"</formula>
    </cfRule>
  </conditionalFormatting>
  <conditionalFormatting sqref="O37 G37:H37">
    <cfRule type="cellIs" dxfId="68" priority="40" operator="equal">
      <formula>"u"</formula>
    </cfRule>
    <cfRule type="cellIs" dxfId="67" priority="41" operator="equal">
      <formula>"T"</formula>
    </cfRule>
    <cfRule type="cellIs" dxfId="66" priority="42" operator="equal">
      <formula>"P"</formula>
    </cfRule>
  </conditionalFormatting>
  <conditionalFormatting sqref="G38:H47">
    <cfRule type="cellIs" dxfId="65" priority="37" operator="equal">
      <formula>"u"</formula>
    </cfRule>
    <cfRule type="cellIs" dxfId="64" priority="38" operator="equal">
      <formula>"T"</formula>
    </cfRule>
    <cfRule type="cellIs" dxfId="63" priority="39" operator="equal">
      <formula>"P"</formula>
    </cfRule>
  </conditionalFormatting>
  <conditionalFormatting sqref="O48 G48:H48">
    <cfRule type="cellIs" dxfId="62" priority="34" operator="equal">
      <formula>"u"</formula>
    </cfRule>
    <cfRule type="cellIs" dxfId="61" priority="35" operator="equal">
      <formula>"T"</formula>
    </cfRule>
    <cfRule type="cellIs" dxfId="60" priority="36" operator="equal">
      <formula>"P"</formula>
    </cfRule>
  </conditionalFormatting>
  <conditionalFormatting sqref="G49:H58">
    <cfRule type="cellIs" dxfId="59" priority="31" operator="equal">
      <formula>"u"</formula>
    </cfRule>
    <cfRule type="cellIs" dxfId="58" priority="32" operator="equal">
      <formula>"T"</formula>
    </cfRule>
    <cfRule type="cellIs" dxfId="57" priority="33" operator="equal">
      <formula>"P"</formula>
    </cfRule>
  </conditionalFormatting>
  <conditionalFormatting sqref="O59 G59:H59">
    <cfRule type="cellIs" dxfId="56" priority="28" operator="equal">
      <formula>"u"</formula>
    </cfRule>
    <cfRule type="cellIs" dxfId="55" priority="29" operator="equal">
      <formula>"T"</formula>
    </cfRule>
    <cfRule type="cellIs" dxfId="54" priority="30" operator="equal">
      <formula>"P"</formula>
    </cfRule>
  </conditionalFormatting>
  <conditionalFormatting sqref="G60:H69">
    <cfRule type="cellIs" dxfId="53" priority="25" operator="equal">
      <formula>"u"</formula>
    </cfRule>
    <cfRule type="cellIs" dxfId="52" priority="26" operator="equal">
      <formula>"T"</formula>
    </cfRule>
    <cfRule type="cellIs" dxfId="51" priority="27" operator="equal">
      <formula>"P"</formula>
    </cfRule>
  </conditionalFormatting>
  <conditionalFormatting sqref="O70 G70:H70">
    <cfRule type="cellIs" dxfId="50" priority="22" operator="equal">
      <formula>"u"</formula>
    </cfRule>
    <cfRule type="cellIs" dxfId="49" priority="23" operator="equal">
      <formula>"T"</formula>
    </cfRule>
    <cfRule type="cellIs" dxfId="48" priority="24" operator="equal">
      <formula>"P"</formula>
    </cfRule>
  </conditionalFormatting>
  <conditionalFormatting sqref="G71:H80">
    <cfRule type="cellIs" dxfId="47" priority="19" operator="equal">
      <formula>"u"</formula>
    </cfRule>
    <cfRule type="cellIs" dxfId="46" priority="20" operator="equal">
      <formula>"T"</formula>
    </cfRule>
    <cfRule type="cellIs" dxfId="45" priority="21" operator="equal">
      <formula>"P"</formula>
    </cfRule>
  </conditionalFormatting>
  <conditionalFormatting sqref="O81 G81:H81">
    <cfRule type="cellIs" dxfId="44" priority="16" operator="equal">
      <formula>"u"</formula>
    </cfRule>
    <cfRule type="cellIs" dxfId="43" priority="17" operator="equal">
      <formula>"T"</formula>
    </cfRule>
    <cfRule type="cellIs" dxfId="42" priority="18" operator="equal">
      <formula>"P"</formula>
    </cfRule>
  </conditionalFormatting>
  <conditionalFormatting sqref="G82:H91">
    <cfRule type="cellIs" dxfId="41" priority="13" operator="equal">
      <formula>"u"</formula>
    </cfRule>
    <cfRule type="cellIs" dxfId="40" priority="14" operator="equal">
      <formula>"T"</formula>
    </cfRule>
    <cfRule type="cellIs" dxfId="39" priority="15" operator="equal">
      <formula>"P"</formula>
    </cfRule>
  </conditionalFormatting>
  <conditionalFormatting sqref="O92 G92:H92">
    <cfRule type="cellIs" dxfId="38" priority="10" operator="equal">
      <formula>"u"</formula>
    </cfRule>
    <cfRule type="cellIs" dxfId="37" priority="11" operator="equal">
      <formula>"T"</formula>
    </cfRule>
    <cfRule type="cellIs" dxfId="36" priority="12" operator="equal">
      <formula>"P"</formula>
    </cfRule>
  </conditionalFormatting>
  <conditionalFormatting sqref="G93:H102">
    <cfRule type="cellIs" dxfId="35" priority="7" operator="equal">
      <formula>"u"</formula>
    </cfRule>
    <cfRule type="cellIs" dxfId="34" priority="8" operator="equal">
      <formula>"T"</formula>
    </cfRule>
    <cfRule type="cellIs" dxfId="33" priority="9" operator="equal">
      <formula>"P"</formula>
    </cfRule>
  </conditionalFormatting>
  <conditionalFormatting sqref="O103 G103:H103">
    <cfRule type="cellIs" dxfId="32" priority="4" operator="equal">
      <formula>"u"</formula>
    </cfRule>
    <cfRule type="cellIs" dxfId="31" priority="5" operator="equal">
      <formula>"T"</formula>
    </cfRule>
    <cfRule type="cellIs" dxfId="30" priority="6" operator="equal">
      <formula>"P"</formula>
    </cfRule>
  </conditionalFormatting>
  <conditionalFormatting sqref="G104:H113">
    <cfRule type="cellIs" dxfId="29" priority="1" operator="equal">
      <formula>"u"</formula>
    </cfRule>
    <cfRule type="cellIs" dxfId="28" priority="2" operator="equal">
      <formula>"T"</formula>
    </cfRule>
    <cfRule type="cellIs" dxfId="27" priority="3" operator="equal">
      <formula>"P"</formula>
    </cfRule>
  </conditionalFormatting>
  <dataValidations count="1">
    <dataValidation type="list" allowBlank="1" showInputMessage="1" showErrorMessage="1" sqref="G4:G113">
      <formula1>$A$5:$A$7</formula1>
    </dataValidation>
  </dataValidations>
  <pageMargins left="0.7" right="0.7" top="0.75" bottom="0.75" header="0.3" footer="0.3"/>
  <pageSetup scale="79" orientation="portrait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>
      <selection activeCell="G20" sqref="G20"/>
    </sheetView>
  </sheetViews>
  <sheetFormatPr defaultRowHeight="14.4" x14ac:dyDescent="0.3"/>
  <cols>
    <col min="1" max="1" width="9.88671875" customWidth="1"/>
    <col min="3" max="3" width="27.44140625" bestFit="1" customWidth="1"/>
    <col min="5" max="5" width="9.88671875" customWidth="1"/>
    <col min="6" max="6" width="9.109375" bestFit="1" customWidth="1"/>
    <col min="7" max="7" width="9.88671875" customWidth="1"/>
    <col min="8" max="8" width="12.109375" bestFit="1" customWidth="1"/>
    <col min="9" max="9" width="13.77734375" bestFit="1" customWidth="1"/>
  </cols>
  <sheetData>
    <row r="1" spans="2:12" x14ac:dyDescent="0.3">
      <c r="B1" s="49" t="s">
        <v>39</v>
      </c>
      <c r="C1" s="49"/>
      <c r="E1" s="50" t="s">
        <v>40</v>
      </c>
      <c r="F1" s="50"/>
      <c r="G1" s="50"/>
      <c r="H1" s="50"/>
      <c r="I1" s="50"/>
      <c r="K1" s="48" t="s">
        <v>29</v>
      </c>
      <c r="L1" s="48"/>
    </row>
    <row r="2" spans="2:12" x14ac:dyDescent="0.3">
      <c r="B2" s="49"/>
      <c r="C2" s="49"/>
      <c r="E2" s="50"/>
      <c r="F2" s="50"/>
      <c r="G2" s="50"/>
      <c r="H2" s="50"/>
      <c r="I2" s="50"/>
      <c r="K2" s="46">
        <f>AVERAGE(Table10[% Accieved])</f>
        <v>0.88749999999999996</v>
      </c>
      <c r="L2" s="38" t="str">
        <f>IF(K2&gt;=$C$5,$B$5,IF(AND($K$2&gt;=$C$6,$K$2&lt;$C$5),$B$6,$B$7))</f>
        <v>P</v>
      </c>
    </row>
    <row r="3" spans="2:12" x14ac:dyDescent="0.3">
      <c r="B3" s="49"/>
      <c r="C3" s="49"/>
      <c r="E3" s="50"/>
      <c r="F3" s="50"/>
      <c r="G3" s="50"/>
      <c r="H3" s="50"/>
      <c r="I3" s="50"/>
    </row>
    <row r="4" spans="2:12" x14ac:dyDescent="0.3">
      <c r="B4" t="s">
        <v>12</v>
      </c>
      <c r="C4" t="s">
        <v>26</v>
      </c>
      <c r="E4" t="s">
        <v>27</v>
      </c>
      <c r="F4" t="s">
        <v>31</v>
      </c>
      <c r="G4" t="s">
        <v>30</v>
      </c>
      <c r="H4" t="s">
        <v>28</v>
      </c>
      <c r="I4" t="s">
        <v>32</v>
      </c>
    </row>
    <row r="5" spans="2:12" x14ac:dyDescent="0.3">
      <c r="B5" t="s">
        <v>1</v>
      </c>
      <c r="C5" s="16">
        <v>0.9</v>
      </c>
      <c r="E5" t="s">
        <v>21</v>
      </c>
      <c r="F5">
        <v>10</v>
      </c>
      <c r="G5">
        <v>9</v>
      </c>
      <c r="H5" s="16">
        <f>Table10[[#This Row],[Actual]]/Table10[[#This Row],[Desired]]</f>
        <v>0.9</v>
      </c>
      <c r="I5" t="str">
        <f>IF(Table10[[#This Row],[% Accieved]]&gt;=$C$5,$B$5,IF(AND(Table10[[#This Row],[% Accieved]]&gt;=$C$6,$K$2&lt;$C$5),$B$6,$B$7))</f>
        <v>T</v>
      </c>
    </row>
    <row r="6" spans="2:12" x14ac:dyDescent="0.3">
      <c r="B6" t="s">
        <v>2</v>
      </c>
      <c r="C6" s="16">
        <v>0.7</v>
      </c>
      <c r="E6" t="s">
        <v>22</v>
      </c>
      <c r="F6">
        <v>12</v>
      </c>
      <c r="G6">
        <v>9</v>
      </c>
      <c r="H6" s="16">
        <f>Table10[[#This Row],[Actual]]/Table10[[#This Row],[Desired]]</f>
        <v>0.75</v>
      </c>
      <c r="I6" t="str">
        <f>IF(Table10[[#This Row],[% Accieved]]&gt;=$C$5,$B$5,IF(AND(Table10[[#This Row],[% Accieved]]&gt;=$C$6,$K$2&lt;$C$5),$B$6,$B$7))</f>
        <v>P</v>
      </c>
    </row>
    <row r="7" spans="2:12" x14ac:dyDescent="0.3">
      <c r="B7" t="s">
        <v>3</v>
      </c>
      <c r="C7" s="16">
        <v>0</v>
      </c>
      <c r="E7" t="s">
        <v>23</v>
      </c>
      <c r="F7">
        <v>20</v>
      </c>
      <c r="G7">
        <v>18</v>
      </c>
      <c r="H7" s="16">
        <f>Table10[[#This Row],[Actual]]/Table10[[#This Row],[Desired]]</f>
        <v>0.9</v>
      </c>
      <c r="I7" t="str">
        <f>IF(Table10[[#This Row],[% Accieved]]&gt;=$C$5,$B$5,IF(AND(Table10[[#This Row],[% Accieved]]&gt;=$C$6,$K$2&lt;$C$5),$B$6,$B$7))</f>
        <v>T</v>
      </c>
    </row>
    <row r="8" spans="2:12" x14ac:dyDescent="0.3">
      <c r="E8" t="s">
        <v>42</v>
      </c>
      <c r="F8">
        <v>20</v>
      </c>
      <c r="G8">
        <v>20</v>
      </c>
      <c r="H8" s="39">
        <f>Table10[[#This Row],[Actual]]/Table10[[#This Row],[Desired]]</f>
        <v>1</v>
      </c>
      <c r="I8" s="17" t="str">
        <f>IF(Table10[[#This Row],[% Accieved]]&gt;=$C$5,$B$5,IF(AND(Table10[[#This Row],[% Accieved]]&gt;=$C$6,$K$2&lt;$C$5),$B$6,$B$7))</f>
        <v>T</v>
      </c>
    </row>
    <row r="24" spans="4:6" x14ac:dyDescent="0.3">
      <c r="D24" s="17"/>
      <c r="E24" s="17"/>
      <c r="F24" s="17"/>
    </row>
    <row r="25" spans="4:6" x14ac:dyDescent="0.3">
      <c r="D25" s="17"/>
      <c r="E25" s="17"/>
      <c r="F25" s="17"/>
    </row>
    <row r="26" spans="4:6" x14ac:dyDescent="0.3">
      <c r="D26" s="17"/>
    </row>
    <row r="27" spans="4:6" x14ac:dyDescent="0.3">
      <c r="D27" s="17"/>
    </row>
    <row r="28" spans="4:6" x14ac:dyDescent="0.3">
      <c r="D28" s="17"/>
    </row>
  </sheetData>
  <sheetProtection formatRows="0" insertRows="0" deleteRows="0" sort="0" autoFilter="0" pivotTables="0"/>
  <protectedRanges>
    <protectedRange sqref="E5:G7" name="User Input"/>
    <protectedRange sqref="C5:C6" name="Rating Scheme"/>
  </protectedRanges>
  <mergeCells count="3">
    <mergeCell ref="K1:L1"/>
    <mergeCell ref="B1:C3"/>
    <mergeCell ref="E1:I3"/>
  </mergeCells>
  <conditionalFormatting sqref="I5:I8 L2">
    <cfRule type="cellIs" dxfId="4" priority="1" operator="equal">
      <formula>"U"</formula>
    </cfRule>
    <cfRule type="cellIs" dxfId="3" priority="2" operator="equal">
      <formula>"T"</formula>
    </cfRule>
    <cfRule type="cellIs" dxfId="2" priority="3" operator="equal">
      <formula>"P"</formula>
    </cfRule>
  </conditionalFormatting>
  <dataValidations disablePrompts="1" count="1">
    <dataValidation type="list" allowBlank="1" showInputMessage="1" showErrorMessage="1" sqref="D14:D25">
      <formula1>#REF!</formula1>
    </dataValidation>
  </dataValidations>
  <pageMargins left="0.7" right="0.7" top="0.75" bottom="0.75" header="0.3" footer="0.3"/>
  <pageSetup paperSize="0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Company METL</vt:lpstr>
      <vt:lpstr>METL Task #1</vt:lpstr>
      <vt:lpstr>METL Task #2</vt:lpstr>
      <vt:lpstr>METL Task #3</vt:lpstr>
      <vt:lpstr>METL Task #4</vt:lpstr>
      <vt:lpstr>METL Task #5</vt:lpstr>
      <vt:lpstr>Scratchpad</vt:lpstr>
      <vt:lpstr>'METL Task #1'!Print_Area</vt:lpstr>
      <vt:lpstr>'METL Task #2'!Print_Area</vt:lpstr>
      <vt:lpstr>'METL Task #3'!Print_Area</vt:lpstr>
      <vt:lpstr>'METL Task #4'!Print_Area</vt:lpstr>
      <vt:lpstr>'METL Task #5'!Print_Area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McMahan, Curtis S CTR USA TRADOC</dc:creator>
  <cp:lastModifiedBy>McMahan, Curtis S CTR USA TRADOC</cp:lastModifiedBy>
  <cp:lastPrinted>2014-01-06T14:04:14Z</cp:lastPrinted>
  <dcterms:created xsi:type="dcterms:W3CDTF">2013-12-03T16:50:53Z</dcterms:created>
  <dcterms:modified xsi:type="dcterms:W3CDTF">2016-03-07T12:28:40Z</dcterms:modified>
</cp:coreProperties>
</file>